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eacher\Agócs\"/>
    </mc:Choice>
  </mc:AlternateContent>
  <bookViews>
    <workbookView xWindow="0" yWindow="0" windowWidth="25365" windowHeight="15225" tabRatio="500"/>
  </bookViews>
  <sheets>
    <sheet name="T" sheetId="8" r:id="rId1"/>
    <sheet name="1" sheetId="2" r:id="rId2"/>
    <sheet name="1m" sheetId="3" r:id="rId3"/>
    <sheet name="2" sheetId="4" r:id="rId4"/>
    <sheet name="2m" sheetId="5" r:id="rId5"/>
    <sheet name="3" sheetId="6" r:id="rId6"/>
    <sheet name="3m" sheetId="7" r:id="rId7"/>
  </sheets>
  <definedNames>
    <definedName name="data">'1m'!$B$3:$B$202</definedName>
    <definedName name="nyelv">T!$M$2:$O$2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5" l="1"/>
  <c r="F9" i="5"/>
  <c r="C91" i="6"/>
  <c r="C89" i="6"/>
  <c r="C87" i="6"/>
  <c r="C85" i="6"/>
  <c r="C83" i="6"/>
  <c r="C81" i="6"/>
  <c r="C79" i="6"/>
  <c r="C77" i="6"/>
  <c r="C75" i="6"/>
  <c r="C73" i="6"/>
  <c r="C71" i="6"/>
  <c r="C69" i="6"/>
  <c r="C67" i="6"/>
  <c r="C65" i="6"/>
  <c r="C63" i="6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B90" i="7"/>
  <c r="B88" i="7"/>
  <c r="B86" i="7"/>
  <c r="B84" i="7"/>
  <c r="B82" i="7"/>
  <c r="B80" i="7"/>
  <c r="B78" i="7"/>
  <c r="B76" i="7"/>
  <c r="B74" i="7"/>
  <c r="B72" i="7"/>
  <c r="B70" i="7"/>
  <c r="B68" i="7"/>
  <c r="B66" i="7"/>
  <c r="B64" i="7"/>
  <c r="B62" i="7"/>
  <c r="M25" i="7"/>
  <c r="B5" i="7"/>
  <c r="B4" i="7"/>
  <c r="B2" i="7"/>
  <c r="B90" i="6"/>
  <c r="B88" i="6"/>
  <c r="B86" i="6"/>
  <c r="B84" i="6"/>
  <c r="B82" i="6"/>
  <c r="B80" i="6"/>
  <c r="B78" i="6"/>
  <c r="B76" i="6"/>
  <c r="B74" i="6"/>
  <c r="B72" i="6"/>
  <c r="B70" i="6"/>
  <c r="B68" i="6"/>
  <c r="B66" i="6"/>
  <c r="B64" i="6"/>
  <c r="B62" i="6"/>
  <c r="B5" i="6"/>
  <c r="B4" i="6"/>
  <c r="B2" i="6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G6" i="5"/>
  <c r="E4" i="5"/>
  <c r="E3" i="5"/>
  <c r="E2" i="5"/>
  <c r="C2" i="5"/>
  <c r="B2" i="5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4" i="4"/>
  <c r="E3" i="4"/>
  <c r="E2" i="4"/>
  <c r="C2" i="4"/>
  <c r="B2" i="4"/>
  <c r="M86" i="2"/>
  <c r="M84" i="2"/>
  <c r="M82" i="2"/>
  <c r="D75" i="2"/>
  <c r="D71" i="2"/>
  <c r="D70" i="2"/>
  <c r="D68" i="2"/>
  <c r="D67" i="2"/>
  <c r="D65" i="2"/>
  <c r="D64" i="2"/>
  <c r="D62" i="2"/>
  <c r="D61" i="2"/>
  <c r="D60" i="2"/>
  <c r="D59" i="2"/>
  <c r="D56" i="2"/>
  <c r="D57" i="2"/>
  <c r="D58" i="2"/>
  <c r="D55" i="2"/>
  <c r="D53" i="2"/>
  <c r="D50" i="2"/>
  <c r="M82" i="3"/>
  <c r="M86" i="3"/>
  <c r="M84" i="3"/>
  <c r="H84" i="3"/>
  <c r="G84" i="3"/>
  <c r="F78" i="3"/>
  <c r="F79" i="3"/>
  <c r="F80" i="3"/>
  <c r="F77" i="3"/>
  <c r="F76" i="3"/>
  <c r="D75" i="3"/>
  <c r="F74" i="3"/>
  <c r="F73" i="3"/>
  <c r="F72" i="3"/>
  <c r="D71" i="3"/>
  <c r="D70" i="3"/>
  <c r="D68" i="3"/>
  <c r="D67" i="3"/>
  <c r="D65" i="3"/>
  <c r="D64" i="3"/>
  <c r="D62" i="3"/>
  <c r="D59" i="3"/>
  <c r="D61" i="3"/>
  <c r="D60" i="3"/>
  <c r="D56" i="3"/>
  <c r="D57" i="3"/>
  <c r="D58" i="3"/>
  <c r="D55" i="3"/>
  <c r="D53" i="3"/>
  <c r="D50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18" i="3"/>
  <c r="B2" i="3"/>
  <c r="D16" i="3"/>
  <c r="D15" i="3"/>
  <c r="D14" i="3"/>
  <c r="D13" i="3"/>
  <c r="D12" i="3"/>
  <c r="D10" i="3"/>
  <c r="D8" i="3"/>
  <c r="F11" i="3"/>
  <c r="D4" i="3"/>
  <c r="D3" i="3"/>
  <c r="D2" i="3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0" i="2"/>
  <c r="D21" i="2"/>
  <c r="D22" i="2"/>
  <c r="D19" i="2"/>
  <c r="D18" i="2"/>
  <c r="D16" i="2"/>
  <c r="D15" i="2"/>
  <c r="D14" i="2"/>
  <c r="D13" i="2"/>
  <c r="D12" i="2"/>
  <c r="D10" i="2"/>
  <c r="D8" i="2"/>
  <c r="D3" i="2"/>
  <c r="D2" i="2"/>
  <c r="D4" i="2"/>
  <c r="B2" i="2"/>
  <c r="F80" i="2"/>
  <c r="F79" i="2"/>
  <c r="F78" i="2"/>
  <c r="F77" i="2"/>
  <c r="F76" i="2"/>
  <c r="F74" i="2"/>
  <c r="F73" i="2"/>
  <c r="F72" i="2"/>
  <c r="F68" i="2"/>
  <c r="F67" i="2"/>
  <c r="F65" i="2"/>
  <c r="F64" i="2"/>
  <c r="F62" i="2"/>
  <c r="F61" i="2"/>
  <c r="F59" i="2"/>
  <c r="F57" i="2"/>
  <c r="F56" i="2"/>
  <c r="F55" i="2"/>
  <c r="F50" i="2"/>
  <c r="F48" i="2"/>
  <c r="F47" i="2"/>
  <c r="F46" i="2"/>
  <c r="F44" i="2"/>
  <c r="F43" i="2"/>
  <c r="F42" i="2"/>
  <c r="F40" i="2"/>
  <c r="F38" i="2"/>
  <c r="F36" i="2"/>
  <c r="F35" i="2"/>
  <c r="F34" i="2"/>
  <c r="F32" i="2"/>
  <c r="F31" i="2"/>
  <c r="F29" i="2"/>
  <c r="F28" i="2"/>
  <c r="F26" i="2"/>
  <c r="F25" i="2"/>
  <c r="F22" i="2"/>
  <c r="F21" i="2"/>
  <c r="F20" i="2"/>
  <c r="F16" i="2"/>
  <c r="F15" i="2"/>
  <c r="F14" i="2"/>
  <c r="F13" i="2"/>
  <c r="F8" i="2"/>
  <c r="C3" i="8"/>
  <c r="B91" i="7"/>
  <c r="B89" i="7"/>
  <c r="B87" i="7"/>
  <c r="B85" i="7"/>
  <c r="B83" i="7"/>
  <c r="B81" i="7"/>
  <c r="B75" i="7"/>
  <c r="B73" i="7"/>
  <c r="B69" i="7"/>
  <c r="B67" i="7"/>
  <c r="F31" i="5"/>
  <c r="F29" i="5"/>
  <c r="G28" i="5"/>
  <c r="F28" i="5"/>
  <c r="G27" i="5"/>
  <c r="F27" i="5"/>
  <c r="G26" i="5"/>
  <c r="F26" i="5"/>
  <c r="G25" i="5"/>
  <c r="F25" i="5"/>
  <c r="F24" i="5"/>
  <c r="F23" i="5"/>
  <c r="F15" i="5"/>
  <c r="F14" i="5"/>
  <c r="F22" i="5"/>
  <c r="F13" i="5"/>
  <c r="F12" i="5"/>
  <c r="F21" i="5"/>
  <c r="F7" i="5"/>
  <c r="G20" i="5"/>
  <c r="F20" i="5"/>
  <c r="G19" i="5"/>
  <c r="F19" i="5"/>
  <c r="G18" i="5"/>
  <c r="F18" i="5"/>
  <c r="G17" i="5"/>
  <c r="F17" i="5"/>
  <c r="G16" i="5"/>
  <c r="F16" i="5"/>
  <c r="G15" i="5"/>
  <c r="G14" i="5"/>
  <c r="F11" i="5"/>
  <c r="F10" i="5"/>
  <c r="F8" i="5"/>
  <c r="G8" i="5"/>
  <c r="E16" i="3"/>
  <c r="K202" i="3"/>
  <c r="J202" i="3"/>
  <c r="K201" i="3"/>
  <c r="J201" i="3"/>
  <c r="K200" i="3"/>
  <c r="J200" i="3"/>
  <c r="K199" i="3"/>
  <c r="J199" i="3"/>
  <c r="K198" i="3"/>
  <c r="J198" i="3"/>
  <c r="K197" i="3"/>
  <c r="J197" i="3"/>
  <c r="K196" i="3"/>
  <c r="J196" i="3"/>
  <c r="K195" i="3"/>
  <c r="J195" i="3"/>
  <c r="K194" i="3"/>
  <c r="J194" i="3"/>
  <c r="K193" i="3"/>
  <c r="J193" i="3"/>
  <c r="K192" i="3"/>
  <c r="J192" i="3"/>
  <c r="K191" i="3"/>
  <c r="J191" i="3"/>
  <c r="K190" i="3"/>
  <c r="J190" i="3"/>
  <c r="K189" i="3"/>
  <c r="J189" i="3"/>
  <c r="K188" i="3"/>
  <c r="J188" i="3"/>
  <c r="K187" i="3"/>
  <c r="J187" i="3"/>
  <c r="K186" i="3"/>
  <c r="J186" i="3"/>
  <c r="K185" i="3"/>
  <c r="J185" i="3"/>
  <c r="K184" i="3"/>
  <c r="J184" i="3"/>
  <c r="K183" i="3"/>
  <c r="J183" i="3"/>
  <c r="K182" i="3"/>
  <c r="J182" i="3"/>
  <c r="K181" i="3"/>
  <c r="J181" i="3"/>
  <c r="K180" i="3"/>
  <c r="J180" i="3"/>
  <c r="K179" i="3"/>
  <c r="J179" i="3"/>
  <c r="K178" i="3"/>
  <c r="J178" i="3"/>
  <c r="K177" i="3"/>
  <c r="J177" i="3"/>
  <c r="K176" i="3"/>
  <c r="J176" i="3"/>
  <c r="K175" i="3"/>
  <c r="J175" i="3"/>
  <c r="K174" i="3"/>
  <c r="J174" i="3"/>
  <c r="K173" i="3"/>
  <c r="J173" i="3"/>
  <c r="K172" i="3"/>
  <c r="J172" i="3"/>
  <c r="K171" i="3"/>
  <c r="J171" i="3"/>
  <c r="K170" i="3"/>
  <c r="J170" i="3"/>
  <c r="K169" i="3"/>
  <c r="J169" i="3"/>
  <c r="K168" i="3"/>
  <c r="J168" i="3"/>
  <c r="K167" i="3"/>
  <c r="J167" i="3"/>
  <c r="K166" i="3"/>
  <c r="J166" i="3"/>
  <c r="K165" i="3"/>
  <c r="J165" i="3"/>
  <c r="K164" i="3"/>
  <c r="J164" i="3"/>
  <c r="K163" i="3"/>
  <c r="J163" i="3"/>
  <c r="K162" i="3"/>
  <c r="J162" i="3"/>
  <c r="K161" i="3"/>
  <c r="J161" i="3"/>
  <c r="K160" i="3"/>
  <c r="J160" i="3"/>
  <c r="K159" i="3"/>
  <c r="J159" i="3"/>
  <c r="K158" i="3"/>
  <c r="J158" i="3"/>
  <c r="K157" i="3"/>
  <c r="J157" i="3"/>
  <c r="K156" i="3"/>
  <c r="J156" i="3"/>
  <c r="K155" i="3"/>
  <c r="J155" i="3"/>
  <c r="K154" i="3"/>
  <c r="J154" i="3"/>
  <c r="K153" i="3"/>
  <c r="J153" i="3"/>
  <c r="K152" i="3"/>
  <c r="J152" i="3"/>
  <c r="K151" i="3"/>
  <c r="J151" i="3"/>
  <c r="K150" i="3"/>
  <c r="J150" i="3"/>
  <c r="K149" i="3"/>
  <c r="J149" i="3"/>
  <c r="K148" i="3"/>
  <c r="J148" i="3"/>
  <c r="K147" i="3"/>
  <c r="J147" i="3"/>
  <c r="K146" i="3"/>
  <c r="J146" i="3"/>
  <c r="K145" i="3"/>
  <c r="J145" i="3"/>
  <c r="K144" i="3"/>
  <c r="J144" i="3"/>
  <c r="K143" i="3"/>
  <c r="J143" i="3"/>
  <c r="K142" i="3"/>
  <c r="J142" i="3"/>
  <c r="K141" i="3"/>
  <c r="J141" i="3"/>
  <c r="K140" i="3"/>
  <c r="J140" i="3"/>
  <c r="K139" i="3"/>
  <c r="J139" i="3"/>
  <c r="K138" i="3"/>
  <c r="J138" i="3"/>
  <c r="K137" i="3"/>
  <c r="J137" i="3"/>
  <c r="K136" i="3"/>
  <c r="J136" i="3"/>
  <c r="K135" i="3"/>
  <c r="J135" i="3"/>
  <c r="K134" i="3"/>
  <c r="J134" i="3"/>
  <c r="K133" i="3"/>
  <c r="J133" i="3"/>
  <c r="K132" i="3"/>
  <c r="J132" i="3"/>
  <c r="K131" i="3"/>
  <c r="J131" i="3"/>
  <c r="K130" i="3"/>
  <c r="J130" i="3"/>
  <c r="K129" i="3"/>
  <c r="J129" i="3"/>
  <c r="K128" i="3"/>
  <c r="J128" i="3"/>
  <c r="K127" i="3"/>
  <c r="J127" i="3"/>
  <c r="K126" i="3"/>
  <c r="J126" i="3"/>
  <c r="K125" i="3"/>
  <c r="J125" i="3"/>
  <c r="K124" i="3"/>
  <c r="J124" i="3"/>
  <c r="K123" i="3"/>
  <c r="J123" i="3"/>
  <c r="K122" i="3"/>
  <c r="J122" i="3"/>
  <c r="K121" i="3"/>
  <c r="J121" i="3"/>
  <c r="K120" i="3"/>
  <c r="J120" i="3"/>
  <c r="K119" i="3"/>
  <c r="J119" i="3"/>
  <c r="K118" i="3"/>
  <c r="J118" i="3"/>
  <c r="K117" i="3"/>
  <c r="J117" i="3"/>
  <c r="K116" i="3"/>
  <c r="J116" i="3"/>
  <c r="K115" i="3"/>
  <c r="J115" i="3"/>
  <c r="K114" i="3"/>
  <c r="J114" i="3"/>
  <c r="K113" i="3"/>
  <c r="J113" i="3"/>
  <c r="K112" i="3"/>
  <c r="J112" i="3"/>
  <c r="K111" i="3"/>
  <c r="J111" i="3"/>
  <c r="K110" i="3"/>
  <c r="J110" i="3"/>
  <c r="K109" i="3"/>
  <c r="J109" i="3"/>
  <c r="K108" i="3"/>
  <c r="J108" i="3"/>
  <c r="K107" i="3"/>
  <c r="J107" i="3"/>
  <c r="K106" i="3"/>
  <c r="J106" i="3"/>
  <c r="K105" i="3"/>
  <c r="J105" i="3"/>
  <c r="K104" i="3"/>
  <c r="J104" i="3"/>
  <c r="K103" i="3"/>
  <c r="J103" i="3"/>
  <c r="K102" i="3"/>
  <c r="J102" i="3"/>
  <c r="K101" i="3"/>
  <c r="J101" i="3"/>
  <c r="K100" i="3"/>
  <c r="J100" i="3"/>
  <c r="K99" i="3"/>
  <c r="J99" i="3"/>
  <c r="K98" i="3"/>
  <c r="J98" i="3"/>
  <c r="K97" i="3"/>
  <c r="J97" i="3"/>
  <c r="K96" i="3"/>
  <c r="J96" i="3"/>
  <c r="K95" i="3"/>
  <c r="J95" i="3"/>
  <c r="K94" i="3"/>
  <c r="J94" i="3"/>
  <c r="K93" i="3"/>
  <c r="J93" i="3"/>
  <c r="K92" i="3"/>
  <c r="J92" i="3"/>
  <c r="K91" i="3"/>
  <c r="J91" i="3"/>
  <c r="K90" i="3"/>
  <c r="J90" i="3"/>
  <c r="K89" i="3"/>
  <c r="J89" i="3"/>
  <c r="K88" i="3"/>
  <c r="J88" i="3"/>
  <c r="K87" i="3"/>
  <c r="J87" i="3"/>
  <c r="K86" i="3"/>
  <c r="J86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E8" i="3"/>
  <c r="H86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G86" i="3"/>
  <c r="E67" i="3"/>
  <c r="E64" i="3"/>
  <c r="E59" i="3"/>
  <c r="E62" i="3"/>
  <c r="F61" i="3"/>
  <c r="E61" i="3"/>
  <c r="F59" i="3"/>
  <c r="E36" i="3"/>
  <c r="E34" i="3"/>
  <c r="E57" i="3"/>
  <c r="E28" i="3"/>
  <c r="E25" i="3"/>
  <c r="E56" i="3"/>
  <c r="E46" i="3"/>
  <c r="E42" i="3"/>
  <c r="E55" i="3"/>
  <c r="F50" i="3"/>
  <c r="E50" i="3"/>
  <c r="F48" i="3"/>
  <c r="E48" i="3"/>
  <c r="F47" i="3"/>
  <c r="E47" i="3"/>
  <c r="F44" i="3"/>
  <c r="E44" i="3"/>
  <c r="F43" i="3"/>
  <c r="E43" i="3"/>
  <c r="F40" i="3"/>
  <c r="E40" i="3"/>
  <c r="F38" i="3"/>
  <c r="E38" i="3"/>
  <c r="F36" i="3"/>
  <c r="F35" i="3"/>
  <c r="E35" i="3"/>
  <c r="F34" i="3"/>
  <c r="F32" i="3"/>
  <c r="E32" i="3"/>
  <c r="F31" i="3"/>
  <c r="E31" i="3"/>
  <c r="F29" i="3"/>
  <c r="E29" i="3"/>
  <c r="F28" i="3"/>
  <c r="F26" i="3"/>
  <c r="E26" i="3"/>
  <c r="F25" i="3"/>
  <c r="F22" i="3"/>
  <c r="E22" i="3"/>
  <c r="F21" i="3"/>
  <c r="E21" i="3"/>
  <c r="E20" i="3"/>
  <c r="E15" i="3"/>
  <c r="E13" i="3"/>
  <c r="F14" i="3"/>
  <c r="E14" i="3"/>
  <c r="F13" i="3"/>
</calcChain>
</file>

<file path=xl/sharedStrings.xml><?xml version="1.0" encoding="utf-8"?>
<sst xmlns="http://schemas.openxmlformats.org/spreadsheetml/2006/main" count="906" uniqueCount="430">
  <si>
    <t>Megmértük 200 egészséges ember véralbuminszintjét. Az értékeket a B oszlop tartalmazza.</t>
  </si>
  <si>
    <t>Wir maßen den Blutalbuminspegel von 200 Gesunden. Die werden sind befindlich in Spalte „B“.</t>
  </si>
  <si>
    <t>We measured the blood albumin concentration of 200 healthy people. The Values can be found in column "B".</t>
  </si>
  <si>
    <t>Végezd el az adatok leíró statisztikai kiértékelését!</t>
  </si>
  <si>
    <t>Führe durch die deskriptive statistische Auswertung der Daten!</t>
  </si>
  <si>
    <t>Please carry out the descriptive statistical evaluation of the data.</t>
  </si>
  <si>
    <t>albuminkoncentráció (μmol/L)</t>
  </si>
  <si>
    <t>Albuminkonzentration (μmol/L)</t>
  </si>
  <si>
    <t>albumin concentration (μmol/L)</t>
  </si>
  <si>
    <t>Írd be a kért értékeket a zöld cellákba!</t>
  </si>
  <si>
    <t>Gib die gefragten Werte in den grünen Zellen!</t>
  </si>
  <si>
    <t>Give the asked values in the green cells.</t>
  </si>
  <si>
    <t>további számolási lehetőségek:</t>
  </si>
  <si>
    <t>weitere Rechenmöglichkeiten:</t>
  </si>
  <si>
    <t>other culcation options:</t>
  </si>
  <si>
    <t>elemszám</t>
  </si>
  <si>
    <t>Datenanzahl (Umfang)</t>
  </si>
  <si>
    <t>data count</t>
  </si>
  <si>
    <t>1. helyparaméterek</t>
  </si>
  <si>
    <t>1. Lagemaße (auch: Lageparameter)</t>
  </si>
  <si>
    <t>1. measures of location</t>
  </si>
  <si>
    <t xml:space="preserve">  1.1. középértékek</t>
  </si>
  <si>
    <t xml:space="preserve">  1.1. Mittelwerte (auch: Zentralwerte]</t>
  </si>
  <si>
    <t xml:space="preserve">  1.1. central tendencies</t>
  </si>
  <si>
    <t xml:space="preserve">    1.1.3. számtani közép (átlag)</t>
  </si>
  <si>
    <t xml:space="preserve">    1.1.3. aritmetisches Mittel (auch: Mittelwert, Durchschnitt)</t>
  </si>
  <si>
    <t xml:space="preserve">    1.1.3. mean (also: arithmetic mean, average)</t>
  </si>
  <si>
    <t xml:space="preserve">    1.1.1. módusz(ok)</t>
  </si>
  <si>
    <t xml:space="preserve">    1.1.1. Modalwert(e)</t>
  </si>
  <si>
    <t xml:space="preserve">    1.1.1. mode(s)</t>
  </si>
  <si>
    <t>MÓDUSZ*</t>
  </si>
  <si>
    <t>MODALWERT*</t>
  </si>
  <si>
    <t>MODE*</t>
  </si>
  <si>
    <t>MÓDUSZ.EGY</t>
  </si>
  <si>
    <t>MODUS.EINF</t>
  </si>
  <si>
    <t>MODE.SNGL</t>
  </si>
  <si>
    <t>MÓDUSZ.TÖBB</t>
  </si>
  <si>
    <t>MODUS.VIELF</t>
  </si>
  <si>
    <t>MODE.MULT</t>
  </si>
  <si>
    <t>Hányszor fordul elő a módusz (illetve az egyes móduszok)?</t>
  </si>
  <si>
    <t>Wie viel mal taucht der Modalwert (oder die enzelne Modalwerte) auf?</t>
  </si>
  <si>
    <t>How many times does the mode (or any of the modes) turn up?</t>
  </si>
  <si>
    <t xml:space="preserve">    1.1.2. medián</t>
  </si>
  <si>
    <t xml:space="preserve">    1.1.2. Median</t>
  </si>
  <si>
    <t xml:space="preserve">    1.1.2. median</t>
  </si>
  <si>
    <t>régi függvény*</t>
  </si>
  <si>
    <t>alte Funktion*</t>
  </si>
  <si>
    <t>old function*</t>
  </si>
  <si>
    <t>inkluzív (TARTALMAZ)</t>
  </si>
  <si>
    <t>einschließlich (inklusiv, INKL)</t>
  </si>
  <si>
    <t>inclusive (INC)</t>
  </si>
  <si>
    <t>exkluzív (KIZÁR)</t>
  </si>
  <si>
    <t>ausschließlich (exklusiv, EXKL)</t>
  </si>
  <si>
    <t>exclusive (EXC)</t>
  </si>
  <si>
    <t>α = 1/2</t>
  </si>
  <si>
    <t xml:space="preserve">  1.2. kvantilisek</t>
  </si>
  <si>
    <t xml:space="preserve">  1.2. Quantile</t>
  </si>
  <si>
    <t xml:space="preserve">  1.2. quantiles</t>
  </si>
  <si>
    <t xml:space="preserve">    1.2.1. medián</t>
  </si>
  <si>
    <t xml:space="preserve">    1.2.1. Median</t>
  </si>
  <si>
    <t xml:space="preserve">    1.2.1. median</t>
  </si>
  <si>
    <t>MEDIÁN</t>
  </si>
  <si>
    <t>MEDIAN</t>
  </si>
  <si>
    <t>KVARTILIS</t>
  </si>
  <si>
    <t>QUARTILE</t>
  </si>
  <si>
    <t>PERCENTILIS</t>
  </si>
  <si>
    <t>QUANTIL</t>
  </si>
  <si>
    <t>PERCENTILE</t>
  </si>
  <si>
    <t>α = 1/4</t>
  </si>
  <si>
    <t xml:space="preserve">    1.2.2. kvartilisek</t>
  </si>
  <si>
    <t xml:space="preserve">    1.2.2. Quartile</t>
  </si>
  <si>
    <t xml:space="preserve">    1.2.2. quartiles</t>
  </si>
  <si>
    <t>alsó kvartilis</t>
  </si>
  <si>
    <t>unteres Quartil</t>
  </si>
  <si>
    <t>lower quartile</t>
  </si>
  <si>
    <t>α = 3/4</t>
  </si>
  <si>
    <t>felső kvartilis</t>
  </si>
  <si>
    <t>oberes Quartil</t>
  </si>
  <si>
    <t>upper quartile</t>
  </si>
  <si>
    <t>α = 2/5</t>
  </si>
  <si>
    <t xml:space="preserve">    1.2.3. kvintilisek</t>
  </si>
  <si>
    <t xml:space="preserve">    1.2.3. Quintilen</t>
  </si>
  <si>
    <t xml:space="preserve">    1.2.3. quintiles</t>
  </si>
  <si>
    <t>α = 4/5</t>
  </si>
  <si>
    <t>pl. 2. kvintilis</t>
  </si>
  <si>
    <t>z.B. 2tes Quintil</t>
  </si>
  <si>
    <t>e.g. 2nd quintile</t>
  </si>
  <si>
    <t>pl. 4. kvintilis</t>
  </si>
  <si>
    <t>z.B. 4tes Quintil</t>
  </si>
  <si>
    <t>e.g. 4th quintile</t>
  </si>
  <si>
    <t>α = 1/10</t>
  </si>
  <si>
    <t xml:space="preserve">    1.2.4. decilisek</t>
  </si>
  <si>
    <t xml:space="preserve">    1.2.4. Dezile</t>
  </si>
  <si>
    <t xml:space="preserve">    1.2.4. deciles</t>
  </si>
  <si>
    <t>α = 6/10</t>
  </si>
  <si>
    <t>pl. 1. decilis</t>
  </si>
  <si>
    <t>z.B. erstes Dezil</t>
  </si>
  <si>
    <t>e.g. 1st decile</t>
  </si>
  <si>
    <t>α = 9/10</t>
  </si>
  <si>
    <t>pl. 6. decilis</t>
  </si>
  <si>
    <t>z.B. 6tes Dezil</t>
  </si>
  <si>
    <t>e.g. 6th decile</t>
  </si>
  <si>
    <t>pl. 9. decilis</t>
  </si>
  <si>
    <t>z.B. 9tes Dezil</t>
  </si>
  <si>
    <t>e.g. 9th decile</t>
  </si>
  <si>
    <t>α = 35/100</t>
  </si>
  <si>
    <t xml:space="preserve">    1.2.5. percentilisek</t>
  </si>
  <si>
    <t xml:space="preserve">    1.2.5. Perzentile</t>
  </si>
  <si>
    <t xml:space="preserve">    1.2.5. percentiles</t>
  </si>
  <si>
    <t>pl. 35 percentilis</t>
  </si>
  <si>
    <t>z.B. 35tes Perzentil</t>
  </si>
  <si>
    <t>e.g. 35th percentile</t>
  </si>
  <si>
    <t xml:space="preserve">    1.2.6. α-kvantilis</t>
  </si>
  <si>
    <t xml:space="preserve">    1.2.6. α-Quantil</t>
  </si>
  <si>
    <t xml:space="preserve">    1.2.6. α-quantile</t>
  </si>
  <si>
    <t>α = 0</t>
  </si>
  <si>
    <t>pl. α = 0,378</t>
  </si>
  <si>
    <t>z.B. α = 0,378</t>
  </si>
  <si>
    <t>e.g. α = 0.378</t>
  </si>
  <si>
    <t xml:space="preserve">    1.2.7. minimum</t>
  </si>
  <si>
    <t xml:space="preserve">    1.2.7. Minimum</t>
  </si>
  <si>
    <t>MIN</t>
  </si>
  <si>
    <t>α = 1</t>
  </si>
  <si>
    <t xml:space="preserve">    1.2.8. maximum</t>
  </si>
  <si>
    <t xml:space="preserve">    1.2.8. Maximum</t>
  </si>
  <si>
    <t>MAX</t>
  </si>
  <si>
    <t>Az adatok hány százaléka kisebb mint 600?</t>
  </si>
  <si>
    <t>Welche Prozentteil der Daten ist kleiner als 600?</t>
  </si>
  <si>
    <t>What percentage of the data is less than 600?</t>
  </si>
  <si>
    <t>2. szóródási paraméterek</t>
  </si>
  <si>
    <t>2. Streuungsmaße (auch: Streuungsparameter)</t>
  </si>
  <si>
    <t>2. measures of dispersion (spread)</t>
  </si>
  <si>
    <t xml:space="preserve">  2.1. terjedelem</t>
  </si>
  <si>
    <t xml:space="preserve">  2.1. Spannweite</t>
  </si>
  <si>
    <t xml:space="preserve">  2.1. range</t>
  </si>
  <si>
    <t xml:space="preserve">  2.2. interkvartilis terjedelem</t>
  </si>
  <si>
    <t xml:space="preserve">  2.2. Interquartilabstand</t>
  </si>
  <si>
    <t xml:space="preserve">  2.2. interquartile range</t>
  </si>
  <si>
    <t xml:space="preserve">  2.3. interdecilis terjedelem</t>
  </si>
  <si>
    <t xml:space="preserve">  2.3. Interdezilabstand</t>
  </si>
  <si>
    <t xml:space="preserve">  2.3. interdecile range</t>
  </si>
  <si>
    <t xml:space="preserve">  2.4. az adathalmaz MINT ALAPSOKASÁG varianciája (Bessel-korrekció nélküli variancia, a minta korrigálatlan varianciája)</t>
  </si>
  <si>
    <t xml:space="preserve">  2.4. Varianz der Datenmenge ALS GRUNDGESAMTHEIT (auch: Varianz ohne Bessel-Korrektur, unkorrigierte Stichprobenvarianz)</t>
  </si>
  <si>
    <t xml:space="preserve">  2.4. the variance of the data set AS A POPULATION (variance without Bessel's correction)</t>
  </si>
  <si>
    <t>VARP*</t>
  </si>
  <si>
    <t>VARIANZEN*</t>
  </si>
  <si>
    <t>VAR.S</t>
  </si>
  <si>
    <t>VAR.P</t>
  </si>
  <si>
    <t xml:space="preserve">  2.5. az adathalmaz MINT ALAPSOKASÁG szórása (Bessel-korrekció nélküli szórás, a minta korrigálatlan szórása)</t>
  </si>
  <si>
    <t xml:space="preserve">  2.5. Standardabweichung der Datenmenge ALS GRUNDGESAMTHEIT (auch: Standardabweichung ohne Bessel-Korrektur, unkorrigierte Standardabweichung)</t>
  </si>
  <si>
    <t xml:space="preserve">  2.5. the standard deviation of the data set AS A POPULATION (variance without Bessel's correction)</t>
  </si>
  <si>
    <t>SZÓRÁSP*</t>
  </si>
  <si>
    <t>STABWN*</t>
  </si>
  <si>
    <t>STDEVP*</t>
  </si>
  <si>
    <t>SZÓR.S</t>
  </si>
  <si>
    <t>STABW.N</t>
  </si>
  <si>
    <t>STDEV.P</t>
  </si>
  <si>
    <t>a varianciából</t>
  </si>
  <si>
    <t>aus der Varianz</t>
  </si>
  <si>
    <t>from the variance</t>
  </si>
  <si>
    <t>3. ferdeség</t>
  </si>
  <si>
    <t>3. Schiefe</t>
  </si>
  <si>
    <t>3. skewness</t>
  </si>
  <si>
    <t>balra ferde (negatív ferdeség)</t>
  </si>
  <si>
    <t>linkschief (negative Schiefe)</t>
  </si>
  <si>
    <t>left skew (negative skew)</t>
  </si>
  <si>
    <t>4. csúcsosság (kurtózis)</t>
  </si>
  <si>
    <t>4. Wülbung (auch: Kurtosis)</t>
  </si>
  <si>
    <t>4. kurtosis (also: peakedness)</t>
  </si>
  <si>
    <t>leptokurtikus („csúcsos”, pozitív csúcsosság)</t>
  </si>
  <si>
    <t>steilgipflig (leptokurtisch, positive Wölbung)</t>
  </si>
  <si>
    <t>leptokurtic (positive kurtosis)</t>
  </si>
  <si>
    <t>5. momentumok</t>
  </si>
  <si>
    <t>5. Momente</t>
  </si>
  <si>
    <t>5. moments</t>
  </si>
  <si>
    <t xml:space="preserve">  5.1.  momentumok (a nulla körül)</t>
  </si>
  <si>
    <t xml:space="preserve">  5.1. Momente (in Bezug auf Null)</t>
  </si>
  <si>
    <t xml:space="preserve">  5.1. moments (about zero)</t>
  </si>
  <si>
    <t>mindig 1</t>
  </si>
  <si>
    <t>immer 1</t>
  </si>
  <si>
    <t>always 1</t>
  </si>
  <si>
    <t>átlag</t>
  </si>
  <si>
    <t>Mittelwert</t>
  </si>
  <si>
    <t>mean</t>
  </si>
  <si>
    <t xml:space="preserve">    k = 0</t>
  </si>
  <si>
    <t>négyzetek átlaga</t>
  </si>
  <si>
    <t>Mittelwert der Quadraten</t>
  </si>
  <si>
    <t>mean of squares</t>
  </si>
  <si>
    <t xml:space="preserve">    k = 1</t>
  </si>
  <si>
    <t xml:space="preserve">  5.2. centrális momentumok (az átlag körül)</t>
  </si>
  <si>
    <t xml:space="preserve">  5.2. zentrale Momente (in Bezug auf den Mittelwert)</t>
  </si>
  <si>
    <t xml:space="preserve">  5.2. central moments (about the mean)</t>
  </si>
  <si>
    <t xml:space="preserve">    k = 2</t>
  </si>
  <si>
    <t>mindig 0 (az eltérés kerekítési hiba)</t>
  </si>
  <si>
    <t>immer 0 (die Abweichung ist wegen Rundungfehler)</t>
  </si>
  <si>
    <t>always 0 (the deviation is due to rounding error)</t>
  </si>
  <si>
    <t>variancia (Bessel-korrekció nélkül)</t>
  </si>
  <si>
    <t>Varianz (ohne Bessel-Korrektur)</t>
  </si>
  <si>
    <t>variance (without Bessel's correction)</t>
  </si>
  <si>
    <t>a ferdeséghez használják</t>
  </si>
  <si>
    <t>wird angewandet, die Schiefe zu berechnen</t>
  </si>
  <si>
    <t>used to calculate skewness</t>
  </si>
  <si>
    <t>a csúcsossághoz használják</t>
  </si>
  <si>
    <t>wird angewandet, die Wölbung zu berechnen</t>
  </si>
  <si>
    <t>used to calculate kurtosis</t>
  </si>
  <si>
    <t xml:space="preserve">    k = 3</t>
  </si>
  <si>
    <t>k-adik momentum</t>
  </si>
  <si>
    <t>k-tes Moment</t>
  </si>
  <si>
    <t>k-th moment</t>
  </si>
  <si>
    <t xml:space="preserve">    k = 4</t>
  </si>
  <si>
    <t>k-adik centrális momentum</t>
  </si>
  <si>
    <t>k-tes zentrales Moment</t>
  </si>
  <si>
    <t>k-th central moment</t>
  </si>
  <si>
    <t>A minimum és a maximum nem számolható az exkluzív függvényekkel.</t>
  </si>
  <si>
    <t>Das Minimum und das Maximum können nicht mit den exklusiven Funktionen berechnet werden.</t>
  </si>
  <si>
    <t>The minimum and the maximum  cannot be calculated with the exclusive functions.</t>
  </si>
  <si>
    <t>Figyelem! A variancia és a szórás BECSLÉSÉRE nem ezek, hanem a korrigált képletek (melyeknél n helyett n–1 szerepel a nevezőben) szolgálnak.</t>
  </si>
  <si>
    <t>Achtung! Bei der SCHÄTZUNG der Varianz und der Standardabweichung braucht man nicht diese sondern die korrigierte Formeln (wo n–1 statt n in dem Nenner steht).</t>
  </si>
  <si>
    <t>Attention! The variance and the standard deviation are ESTIMATED with not these formulae but with the ones with corrections (i.e. having n–1 instead of n in the denominator).</t>
  </si>
  <si>
    <t>k értékét átírva a G101-ben lévő képlet a k-dik momentumot (a nulla körül), a H101-ben lévő a k-dik centrális momentumot (az átlag körül) adja meg.</t>
  </si>
  <si>
    <t>Wenn man k verändert, ergibt die Formel in der Zelle G101 das k-te Moment (um Null), und die Formel in der Zelle H101 das k-te zentrale Moment (um das arithmetische Mittel).</t>
  </si>
  <si>
    <t>When k is changed, the formula in cell G101 gives the k-th moment (around zero) and the one in cell H101 gives the k-th central moment (around the mean).</t>
  </si>
  <si>
    <r>
      <t>(</t>
    </r>
    <r>
      <rPr>
        <i/>
        <sz val="11"/>
        <color rgb="FFFF0000"/>
        <rFont val="Calibri"/>
        <family val="2"/>
        <charset val="238"/>
        <scheme val="minor"/>
      </rPr>
      <t>x</t>
    </r>
    <r>
      <rPr>
        <i/>
        <vertAlign val="subscript"/>
        <sz val="11"/>
        <color rgb="FFFF0000"/>
        <rFont val="Calibri"/>
        <family val="2"/>
        <charset val="238"/>
        <scheme val="minor"/>
      </rPr>
      <t>i</t>
    </r>
    <r>
      <rPr>
        <sz val="11"/>
        <color rgb="FFFF0000"/>
        <rFont val="Calibri"/>
        <family val="2"/>
        <charset val="238"/>
        <scheme val="minor"/>
      </rPr>
      <t>)</t>
    </r>
    <r>
      <rPr>
        <i/>
        <vertAlign val="superscript"/>
        <sz val="11"/>
        <color rgb="FFFF0000"/>
        <rFont val="Calibri"/>
        <family val="2"/>
        <charset val="238"/>
        <scheme val="minor"/>
      </rPr>
      <t>k</t>
    </r>
  </si>
  <si>
    <r>
      <t>(</t>
    </r>
    <r>
      <rPr>
        <i/>
        <sz val="11"/>
        <color rgb="FFFF0000"/>
        <rFont val="Calibri"/>
        <family val="2"/>
        <charset val="238"/>
        <scheme val="minor"/>
      </rPr>
      <t>x</t>
    </r>
    <r>
      <rPr>
        <i/>
        <vertAlign val="subscript"/>
        <sz val="11"/>
        <color rgb="FFFF0000"/>
        <rFont val="Calibri"/>
        <family val="2"/>
        <charset val="238"/>
        <scheme val="minor"/>
      </rPr>
      <t>i</t>
    </r>
    <r>
      <rPr>
        <sz val="11"/>
        <color rgb="FFFF0000"/>
        <rFont val="Calibri"/>
        <family val="2"/>
        <charset val="238"/>
        <scheme val="minor"/>
      </rPr>
      <t xml:space="preserve"> – μ)</t>
    </r>
    <r>
      <rPr>
        <i/>
        <vertAlign val="superscript"/>
        <sz val="11"/>
        <color rgb="FFFF0000"/>
        <rFont val="Calibri"/>
        <family val="2"/>
        <charset val="238"/>
        <scheme val="minor"/>
      </rPr>
      <t>k</t>
    </r>
  </si>
  <si>
    <t>k</t>
  </si>
  <si>
    <r>
      <t>Σ(</t>
    </r>
    <r>
      <rPr>
        <i/>
        <sz val="11"/>
        <color rgb="FFFF0000"/>
        <rFont val="Calibri"/>
        <family val="2"/>
        <charset val="238"/>
        <scheme val="minor"/>
      </rPr>
      <t>x</t>
    </r>
    <r>
      <rPr>
        <i/>
        <vertAlign val="subscript"/>
        <sz val="11"/>
        <color rgb="FFFF0000"/>
        <rFont val="Calibri"/>
        <family val="2"/>
        <charset val="238"/>
        <scheme val="minor"/>
      </rPr>
      <t>i</t>
    </r>
    <r>
      <rPr>
        <sz val="11"/>
        <color rgb="FFFF0000"/>
        <rFont val="Calibri"/>
        <family val="2"/>
        <charset val="238"/>
        <scheme val="minor"/>
      </rPr>
      <t>)</t>
    </r>
    <r>
      <rPr>
        <i/>
        <vertAlign val="superscript"/>
        <sz val="11"/>
        <color rgb="FFFF0000"/>
        <rFont val="Calibri"/>
        <family val="2"/>
        <charset val="238"/>
        <scheme val="minor"/>
      </rPr>
      <t>k</t>
    </r>
    <r>
      <rPr>
        <sz val="11"/>
        <color rgb="FFFF0000"/>
        <rFont val="Calibri"/>
        <family val="2"/>
        <charset val="238"/>
        <scheme val="minor"/>
      </rPr>
      <t>/</t>
    </r>
    <r>
      <rPr>
        <i/>
        <sz val="11"/>
        <color rgb="FFFF0000"/>
        <rFont val="Calibri"/>
        <family val="2"/>
        <charset val="238"/>
        <scheme val="minor"/>
      </rPr>
      <t>n</t>
    </r>
  </si>
  <si>
    <r>
      <t>Σ(</t>
    </r>
    <r>
      <rPr>
        <i/>
        <sz val="11"/>
        <color rgb="FFFF0000"/>
        <rFont val="Calibri"/>
        <family val="2"/>
        <charset val="238"/>
        <scheme val="minor"/>
      </rPr>
      <t>x</t>
    </r>
    <r>
      <rPr>
        <i/>
        <vertAlign val="subscript"/>
        <sz val="11"/>
        <color rgb="FFFF0000"/>
        <rFont val="Calibri"/>
        <family val="2"/>
        <charset val="238"/>
        <scheme val="minor"/>
      </rPr>
      <t>i</t>
    </r>
    <r>
      <rPr>
        <sz val="11"/>
        <color rgb="FFFF0000"/>
        <rFont val="Calibri"/>
        <family val="2"/>
        <charset val="238"/>
        <scheme val="minor"/>
      </rPr>
      <t xml:space="preserve"> – μ)</t>
    </r>
    <r>
      <rPr>
        <i/>
        <vertAlign val="superscript"/>
        <sz val="11"/>
        <color rgb="FFFF0000"/>
        <rFont val="Calibri"/>
        <family val="2"/>
        <charset val="238"/>
        <scheme val="minor"/>
      </rPr>
      <t>k</t>
    </r>
    <r>
      <rPr>
        <sz val="11"/>
        <color rgb="FFFF0000"/>
        <rFont val="Calibri"/>
        <family val="2"/>
        <charset val="238"/>
        <scheme val="minor"/>
      </rPr>
      <t>/</t>
    </r>
    <r>
      <rPr>
        <i/>
        <sz val="11"/>
        <color rgb="FFFF0000"/>
        <rFont val="Calibri"/>
        <family val="2"/>
        <charset val="238"/>
        <scheme val="minor"/>
      </rPr>
      <t>n</t>
    </r>
  </si>
  <si>
    <t>Megmértük egy csoport testmagasságát.</t>
  </si>
  <si>
    <t>Wir maßen die Körperhöhenwerte einer Gruppe.</t>
  </si>
  <si>
    <t>We measured the stature (in cm) of a group of people.</t>
  </si>
  <si>
    <t>Számold ki az adathalmazhoz tartozó statisztikai paramétereket.</t>
  </si>
  <si>
    <t>Errechne die statistische Parameter der Datenmenge.</t>
  </si>
  <si>
    <t>Calculate the statistical parameters belonging to the data.</t>
  </si>
  <si>
    <t>Azonosító-szám</t>
  </si>
  <si>
    <t>Kennzahl</t>
  </si>
  <si>
    <t>Reference number</t>
  </si>
  <si>
    <t>Test-
magasság / cm</t>
  </si>
  <si>
    <t>Körperhöhe /cm</t>
  </si>
  <si>
    <t>Stature /cm</t>
  </si>
  <si>
    <t>egyéb számolási lehetőségek:</t>
  </si>
  <si>
    <t>andere Rechenmöglichkeiten:</t>
  </si>
  <si>
    <t>other ways for calculation:</t>
  </si>
  <si>
    <t>der Umfang</t>
  </si>
  <si>
    <t>size of data set</t>
  </si>
  <si>
    <t>módusz</t>
  </si>
  <si>
    <t>der Modus</t>
  </si>
  <si>
    <t>mode</t>
  </si>
  <si>
    <t>Hányszor fordul elő a módusz az adatok közt?</t>
  </si>
  <si>
    <t>Wie viel mal erscheint der Modus unter den Daten?</t>
  </si>
  <si>
    <t>How many times does the mode occur among the data?</t>
  </si>
  <si>
    <t>medián</t>
  </si>
  <si>
    <t>der Median</t>
  </si>
  <si>
    <t>median</t>
  </si>
  <si>
    <t>számtani közép</t>
  </si>
  <si>
    <t>das arithmetische Mittel</t>
  </si>
  <si>
    <t>minimum</t>
  </si>
  <si>
    <t>das Minimum</t>
  </si>
  <si>
    <t>maximum</t>
  </si>
  <si>
    <t>das Maximum</t>
  </si>
  <si>
    <t>das untere Quartil</t>
  </si>
  <si>
    <t>das obere Quartil</t>
  </si>
  <si>
    <t>harmadik kvintilis</t>
  </si>
  <si>
    <t>das dritte Quintil</t>
  </si>
  <si>
    <t>third quintile</t>
  </si>
  <si>
    <t>17. percentilis</t>
  </si>
  <si>
    <t>das 17-te Perzentil</t>
  </si>
  <si>
    <t>17th percentile</t>
  </si>
  <si>
    <t>0,87 kvantilis</t>
  </si>
  <si>
    <t>das 0,87 Quantil</t>
  </si>
  <si>
    <t>0.87 kvantile</t>
  </si>
  <si>
    <t>Az adatok hány százaléka kisebb mint 170?</t>
  </si>
  <si>
    <t>Wieviel prozent der Daten ist kleiner als 170 cm?</t>
  </si>
  <si>
    <t>What percent of the data is less than 170 cm?</t>
  </si>
  <si>
    <t>Az adatok hány százaléka nagyobb mint 180?</t>
  </si>
  <si>
    <t>Wieviel prozent der Daten ist größer als 180 cm?</t>
  </si>
  <si>
    <t>What percent of the data is greater than 180 cm?</t>
  </si>
  <si>
    <t>terjedelem</t>
  </si>
  <si>
    <t>die Spannweite</t>
  </si>
  <si>
    <t>range</t>
  </si>
  <si>
    <t>interkvartilis terjedelem</t>
  </si>
  <si>
    <t>der Quartilabstand</t>
  </si>
  <si>
    <t>interquartile range</t>
  </si>
  <si>
    <t>interoktilis terjedelem</t>
  </si>
  <si>
    <t>der Oktilabstand</t>
  </si>
  <si>
    <t>interoctile range</t>
  </si>
  <si>
    <t>interdecilis terjedelem</t>
  </si>
  <si>
    <t>der Dezilabstand</t>
  </si>
  <si>
    <t>interdecile range</t>
  </si>
  <si>
    <t>korrigálatlan szórás (adatok szórása)</t>
  </si>
  <si>
    <t>die nicht korrigierte Streuung (Streuung der Daten)</t>
  </si>
  <si>
    <t>standard deviation without correction (standard deviation of the data)</t>
  </si>
  <si>
    <t>korrigált szórás (elméleti szórás becslése)</t>
  </si>
  <si>
    <t>die korrigierte Streuung (Schätzung der theoretischen Streuung)</t>
  </si>
  <si>
    <t>standard deviation with correction (estimation of the theoretical standard deviation)</t>
  </si>
  <si>
    <t>korrigálatlan variancia (adatok varianciája)</t>
  </si>
  <si>
    <t>die nicht korrigierte Varianz (Varianz der Daten)</t>
  </si>
  <si>
    <t>variance without correction (variance of the data)</t>
  </si>
  <si>
    <t>korrigált variancia (elméleti variancia becslése)</t>
  </si>
  <si>
    <t>die korrigierte Varianz (Schätzung der theoretischen Varianz)</t>
  </si>
  <si>
    <t>variance with correction (estimation of the theoretical variance)</t>
  </si>
  <si>
    <t>ferdeség</t>
  </si>
  <si>
    <t>die Schiefe</t>
  </si>
  <si>
    <t>skew</t>
  </si>
  <si>
    <t>Jobbra vagy balra ferde az adateloszlás? (jobbra=1, balra=2)</t>
  </si>
  <si>
    <t>Ist die Datenverteilung rechtsschief oder linksschief? (rechts=1, links=2)</t>
  </si>
  <si>
    <t>Is the data distribution skewed to the right or ti the left? (right=1, left=2)</t>
  </si>
  <si>
    <t>kurtózis</t>
  </si>
  <si>
    <t>die Wölbung</t>
  </si>
  <si>
    <t>kurtosis</t>
  </si>
  <si>
    <t>Leptokurtotikus vagy platikurtotikus az adateloszlás? (lepto=1, plati=2)</t>
  </si>
  <si>
    <t>Ist die Datenverteilung leptokurtisch oder platykurtisch? (lepto=1, platy=2)</t>
  </si>
  <si>
    <t>Is the data set leptokurtic or platykurtic? (lepto=1, platy=2)</t>
  </si>
  <si>
    <t>Az alábbi grafikon a különböző életkorú fiúgyermekek testtömegindexének eloszlását mutatja percentilisértékek segítségével.</t>
  </si>
  <si>
    <t>Die folgende Grafik zeigt die Verteilung der Body Mass Index Werte von Jungen unterschiedlichen Alters mit Perzentile.</t>
  </si>
  <si>
    <t>The following graph shows the distribution of body mass index values of boys of different ages using percentiles.</t>
  </si>
  <si>
    <t>A testtömegindex (body mass index; BMI) a testtömeg (kg-ban) és a testmagasság (m-ben) négyzetének hányadosa.</t>
  </si>
  <si>
    <t>Der Körpermasseindex (Body Mass Index; BMI) ist das Verhältnis von Körpermasse (in kg) und dem Quadrat der Körpergröße (in m).</t>
  </si>
  <si>
    <t>The Body Mass Index (BMI) is the ratio of body mass (in kg) and the square of body height (in m).</t>
  </si>
  <si>
    <t>A 8-évesek hány százalékának kisebb a testtömegindexe 20 kg/m^2-nél?</t>
  </si>
  <si>
    <t>Wie viel Prozent der 8-jährigen Kinder hat einen BMI weniger als 20 kg/m^2?</t>
  </si>
  <si>
    <t>What percentage of 8-year-old children has a BMI less than 20 kg/m^2?</t>
  </si>
  <si>
    <t>A 8-évesek hány százalékának nagyobb a testtömegindexe 17 kg/m^2-nél?</t>
  </si>
  <si>
    <t>Wie viel Prozent der 8-jährigen Kinder hat einen BMI größer als 17 kg/m^2?</t>
  </si>
  <si>
    <t>What percentage of 8-year-old children has a BMI greater than 17 kg/m^2?</t>
  </si>
  <si>
    <t>A 15 évesek hány százalékának esik a testtömegindexe 16,5 és 22 kg/m^2 közé?</t>
  </si>
  <si>
    <t>Wie viel Prozent der 15-jährigen Kinder hat einen BMI zwischen 16,5 und 22 kg/m^2?</t>
  </si>
  <si>
    <t>What percentage of 15-year-old children has a BMI between 16.5 and 22 kg/m^2?</t>
  </si>
  <si>
    <t>A 11 évesek hány százalékának esik a testtömegindexe 14,5 és 15 kg/m^2 közé?</t>
  </si>
  <si>
    <t>Wie viel Prozent der 11-jährigen Kinder hat einen BMI zwischen 14,5 und 15 kg/m^2?</t>
  </si>
  <si>
    <t>What percentage of 11-year-old children has a BMI between 14.5 and 15 kg/m^2?</t>
  </si>
  <si>
    <t>A 16 és fél évesek testtömegindexének hány kg/m^2 a felső kvartilise?</t>
  </si>
  <si>
    <t>Was ist das obere Quartil des BMI-s von 16-und-halb Jahre alten Kindern in kg/m^2?</t>
  </si>
  <si>
    <t>What is the upper quartile of the BMI of 16-and-a-half year old children in kg/m^2?</t>
  </si>
  <si>
    <t>Hány kg/m^2 a 13 évesek testtömegindexének interkvartilis terjedelme?</t>
  </si>
  <si>
    <t>Was ist der Interquartilabstand (in kg/m^2) des BMI-s von 13-jährigen Kindern?</t>
  </si>
  <si>
    <t>What is the interquartile range (in kg/m^2) of the BMI of 13-year-old children?</t>
  </si>
  <si>
    <t>A 12 évesek hány százalékának esik a testtömegindexe a 15–21 kg/m^2 tartományon kívül?</t>
  </si>
  <si>
    <t>Wie viel Prozent der 12-jährigen Kinder hat einen BMI außerhalb des 15-21 kg/m^2-Bereichs?</t>
  </si>
  <si>
    <t>What percentage of 12-year-old children has a BMI falling out of the 15–21 kg/m^2 range?</t>
  </si>
  <si>
    <t>A 15 és fél évesek testtömegindexének hány kg/m^2 az alsó kvartilise?</t>
  </si>
  <si>
    <t>Was ist das untere Quartil des BMI-s von 15-und-halb Jahre alten Kindern in kg/m^2?</t>
  </si>
  <si>
    <t>What is the lower quartile of the BMI of 15-and-a-half year old children in kg/m^2?</t>
  </si>
  <si>
    <t>A 14 és fél évesek testtömegindexének hány kg/m^2 a mediánja?</t>
  </si>
  <si>
    <t>Was ist der Median des BMI-s von 14-und-halb Jahre alten Kindern in kg/m^2?</t>
  </si>
  <si>
    <t>What is the median of the BMI of 14-and-a-half year old children in kg/m^2?</t>
  </si>
  <si>
    <t>A 10-évesek hány százalékának nagyobb a testtömegindexe 15,5 kg/m^2-nél?</t>
  </si>
  <si>
    <t>Wie viel Prozent der 10-jährigen Kinder hat einen BMI größer als 15,5 kg/m^2?</t>
  </si>
  <si>
    <t>What percentage of 10-year-old children has a BMI greater than 15.5 kg/m^2?</t>
  </si>
  <si>
    <t>Hány kg/m^2 a 13 évesek testtömegindexének interdecilis terjedelme?</t>
  </si>
  <si>
    <t>Was ist der Interdezilabstand (in kg/m^2) des BMI-s von 13-jährigen Kindern?</t>
  </si>
  <si>
    <t>What is the interdecile range (in kg/m^2) of the BMI of 13-year-old children?</t>
  </si>
  <si>
    <t>A 9-évesek hány százalékának nagyobb a testtömegindexe 21 kg/m^2-nél?</t>
  </si>
  <si>
    <t>Wie viel Prozent der 9-jährigen Kinder hat einen BMI größer als 21 kg/m^2?</t>
  </si>
  <si>
    <t>What percentage of 9-year-old children has a BMI greater than 21 kg/m^2?</t>
  </si>
  <si>
    <t>Egy húszfős csoportban minden hallgató életkora 19 év. Várhatóan hánynak esik a testtömegindexe 27.5 kg/m^2 alá?</t>
  </si>
  <si>
    <t>In einer Gruppe von zwanzig Studenten ist jeder 19 Jahre alt. Bei wie viel Studenten wird erwartet, einen BMI kleiner als 27,5 kg/m^2 zu haben?</t>
  </si>
  <si>
    <t>In a student group of twenty everyone is 19 years old. What number of students are expected to have a BMI falling below 27.5 kg/m^2?</t>
  </si>
  <si>
    <t>fő</t>
  </si>
  <si>
    <t>Person(en)</t>
  </si>
  <si>
    <t>person(s)</t>
  </si>
  <si>
    <t>Hatszáz 9 és fél éves gyermek közül várhatóan hánynak esik a testtömegindexe 19 kg/m^2 fölé?</t>
  </si>
  <si>
    <t>Bei wie viel von sechshundert 9-und-halb Jahre alten Kindern wird erwartet, einen BMI größer als 19 kg/m^2 zu haben?</t>
  </si>
  <si>
    <t>What number out of six hundred 9-and-a-half year old children is expected to fall above 19 kg/m^2?</t>
  </si>
  <si>
    <t>Négyszáz 8-éves gyermek közül várhatóan hánynak esik a testtömegindexe 17 és 20 kg/m^2 közé?</t>
  </si>
  <si>
    <t>Bei wie viel von vierhundert 8-jährigen Kindern wird erwartet, einen BMI zwischen 17 und 20 kg/m^2 zu haben?</t>
  </si>
  <si>
    <t>What number out of four hundred 8-year-old children is expected to fall between 17 and 20 kg/m^2?</t>
  </si>
  <si>
    <t>Az első kérdéshez tartozó életkor (függőlegesen, az x-tengely felé), BMI (vízszintesen, az y-tengely felé) és percentilis (görbe vonal mentén) értékek leolvasása.</t>
  </si>
  <si>
    <t>Ablesung der zur erten Frage gehörenden Alter (senkrecht, zur x-Achse), BMI (waagerecht, zur y-Achse) und Perzentil (entlang der kurven Linie) Werte.</t>
  </si>
  <si>
    <t>Reading of the age (vartically, to the x-axis), BMI (horizontally, to the y-axis), and percentile (along the curved line) values for question #1.</t>
  </si>
  <si>
    <r>
      <t xml:space="preserve">Válassz a legördülő listából egy nyelvet! </t>
    </r>
    <r>
      <rPr>
        <sz val="11"/>
        <color rgb="FFFF6600"/>
        <rFont val="Calibri"/>
        <family val="2"/>
        <charset val="238"/>
        <scheme val="minor"/>
      </rPr>
      <t>Wahl eine Sprache aus der herunterrollenden Liste!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rgb="FF0000FF"/>
        <rFont val="Calibri"/>
        <family val="2"/>
        <charset val="238"/>
        <scheme val="minor"/>
      </rPr>
      <t>Choose a language from the drop-down list.</t>
    </r>
  </si>
  <si>
    <t>English</t>
  </si>
  <si>
    <t>magyar</t>
  </si>
  <si>
    <t>deutsch</t>
  </si>
  <si>
    <t>Készítette: dr. Agócs Gergely (Észrevételeket (pl. esetleges hibákról, hiányosságokról) kérlek ide írd meg: gergelyagocs kukac gmail com)</t>
  </si>
  <si>
    <t>Erarbeitet von: Gergely AGÓCS PhD (Bemerkungen (z.B. zu eventuellen Fehler) bitte an: gergelyagocs Klammeraffe gmail com)</t>
  </si>
  <si>
    <t>Created by: Gergely AGÓCS PhD (Please send comments and reflections (e.g. on possible errors) to: gergelyagocs at gmail com)</t>
  </si>
  <si>
    <t>Tartalomjegyzék</t>
  </si>
  <si>
    <t>Inhalt</t>
  </si>
  <si>
    <t>Contents</t>
  </si>
  <si>
    <t>Excelfüggvények használata</t>
  </si>
  <si>
    <t>Anwendung der Excelfunktionen</t>
  </si>
  <si>
    <t>How to use Excel functions</t>
  </si>
  <si>
    <t>Függvények ábrázolása, függvény illesztése mérési adatokra, korreláció és regresszió</t>
  </si>
  <si>
    <t>Darstellung von Funktionen, Anpassung von Funktionen an gemessenen Daten, Korrelation und Regression</t>
  </si>
  <si>
    <t>Displaying functions, fitting a function to measured data, correlation and regression</t>
  </si>
  <si>
    <t>Gyakoriságok meghatározása és ábrázolása</t>
  </si>
  <si>
    <t>Bestimmung und Darstellung von Häufigkeiten</t>
  </si>
  <si>
    <t>Determining and displaying frequencies</t>
  </si>
  <si>
    <t>Minta paramétereinek meghatározása teljes mintából</t>
  </si>
  <si>
    <t>Bestimmung von Stichprobenparametern aus gesamter Stichprobe.</t>
  </si>
  <si>
    <t>Determining sample parameters from whole sample</t>
  </si>
  <si>
    <t>Minta paramétereinek meghatározása gyakorisági eloszlásból</t>
  </si>
  <si>
    <t>Bestimmung von Stichprobenparametern aus Häufigkeitsverteilung</t>
  </si>
  <si>
    <t>Determining sample parameters from frequency distribution</t>
  </si>
  <si>
    <t>Valószínűségi eloszlás paramétereinek meghatározása</t>
  </si>
  <si>
    <t>Bestimmung der Parameter von Wahrscheinlichkeitsverteilungen</t>
  </si>
  <si>
    <t>Determining the parameters of probability distributions</t>
  </si>
  <si>
    <t>Elméleti eloszlás paramétereinek és intervallumainak becslése teljes mintából</t>
  </si>
  <si>
    <t>Schätzung der Parameter und Intervallen von Wahrscheinlichkeitsverteilungen aus gesamter Stichprobe</t>
  </si>
  <si>
    <t>Estimating the parameters and intervals of theoretical distributions from whole sample</t>
  </si>
  <si>
    <t>Elméleti eloszlás paramétereinek és intervallumainak becslése minta gyakorisági eloszlása alapján</t>
  </si>
  <si>
    <t>Schätzung der Parameter und Intervallen von theoretische Verteilungen aus der Häufigkeitsverteilung einer Stichprobe</t>
  </si>
  <si>
    <t>Estimating the parameters and intervals of theoretical distributions from frequency distribution of a sample</t>
  </si>
  <si>
    <t>Valószínűségszámítás diszkrét eloszlású valószínűségi változókkal</t>
  </si>
  <si>
    <t>Wahrscheinlichkeitsrechnung mit diskreten Zufallsvariablen</t>
  </si>
  <si>
    <t>Probability calculus with discrete random variables</t>
  </si>
  <si>
    <t>Student-féle t-próba (1 és 2 mintás, korrelációs)</t>
  </si>
  <si>
    <t>Student t-Test (1 und 2 Stichproben, Korrelation)</t>
  </si>
  <si>
    <t>Student's t-test (for 1 and 2 samples, correlation)</t>
  </si>
  <si>
    <t>Varianciaanalízis (ANOVA)</t>
  </si>
  <si>
    <t>Varianzanalyse (ANOVA)</t>
  </si>
  <si>
    <t>Analysis of variance (ANOVA)</t>
  </si>
  <si>
    <t>Nemparaméteres próbák (Wilcoxon-féle előjeles rangpróba, Mann–Whitney-féle U-próba)</t>
  </si>
  <si>
    <t>Nichtparametrische Teste (Wilcoxon-Vorzeichen-Rang-Test, Mann–Whitney-U-Test)</t>
  </si>
  <si>
    <t>non-parametric tests (Wilcoxon's signed rank test, Mann–Whitney U-test)</t>
  </si>
  <si>
    <t>Feltételes valószínűség, relatív rizikó, esélyhányados</t>
  </si>
  <si>
    <t>Bendingte Wahrscheinlichkeit, relative Risiko, Chancenverhältnis</t>
  </si>
  <si>
    <t>Conditional probability, relative risk, odds ratio</t>
  </si>
  <si>
    <t>Khínégyzetpróba (homogenitás/függetlenség- és illeszkedésvizsgálat)</t>
  </si>
  <si>
    <t>Khiquadrat-Test (für Homogenität/Unabhängigkeit und Anpassung)</t>
  </si>
  <si>
    <t>Chi-square test (for homogenity/independence and for fit)</t>
  </si>
  <si>
    <t>Diagnosztikai módszerek értékelése</t>
  </si>
  <si>
    <t>Erwertund von diagnostische Mathoden</t>
  </si>
  <si>
    <t>Evaluation of diagnostic methods</t>
  </si>
  <si>
    <t>Jobbra (1) vagy balra (2) ferde az eloszlás?</t>
  </si>
  <si>
    <t>Ist die Verteilung rechtsschief (1) oder linksschief (2)?</t>
  </si>
  <si>
    <t>Is the distribution skewed to the right (1) or to the left (2)?</t>
  </si>
  <si>
    <t>Leptokurtikus („csúcsos”, 1) vagy platikurtikus („lapos”, 2) az eloszlás?</t>
  </si>
  <si>
    <t>Ist die Verteilung steilgipflig (leptokurtisch, 1) oder flachgipflig (platykurtisch, 2)?</t>
  </si>
  <si>
    <t>Is the distribution leptokurtic ("peaked", 1) or platykurtic ("flat", 2)?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</si>
</sst>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6600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vertAlign val="subscript"/>
      <sz val="11"/>
      <color rgb="FFFF0000"/>
      <name val="Calibri"/>
      <family val="2"/>
      <charset val="238"/>
      <scheme val="minor"/>
    </font>
    <font>
      <i/>
      <vertAlign val="superscript"/>
      <sz val="11"/>
      <color rgb="FFFF000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0">
    <xf numFmtId="0" fontId="0" fillId="0" borderId="0" xfId="0"/>
    <xf numFmtId="0" fontId="1" fillId="2" borderId="0" xfId="1" applyFill="1"/>
    <xf numFmtId="0" fontId="2" fillId="2" borderId="0" xfId="1" applyFont="1" applyFill="1"/>
    <xf numFmtId="0" fontId="1" fillId="0" borderId="0" xfId="1"/>
    <xf numFmtId="0" fontId="3" fillId="0" borderId="0" xfId="1" applyFont="1"/>
    <xf numFmtId="0" fontId="4" fillId="0" borderId="0" xfId="1" applyFont="1"/>
    <xf numFmtId="0" fontId="1" fillId="0" borderId="1" xfId="1" applyBorder="1" applyAlignment="1">
      <alignment wrapText="1"/>
    </xf>
    <xf numFmtId="0" fontId="5" fillId="0" borderId="0" xfId="1" applyFont="1"/>
    <xf numFmtId="0" fontId="1" fillId="0" borderId="5" xfId="1" applyBorder="1"/>
    <xf numFmtId="0" fontId="1" fillId="0" borderId="9" xfId="1" applyBorder="1"/>
    <xf numFmtId="0" fontId="5" fillId="0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1" fillId="2" borderId="0" xfId="1" applyFill="1" applyBorder="1" applyAlignment="1"/>
    <xf numFmtId="0" fontId="1" fillId="2" borderId="0" xfId="1" applyFill="1" applyAlignment="1"/>
    <xf numFmtId="0" fontId="5" fillId="2" borderId="0" xfId="1" applyFont="1" applyFill="1" applyAlignment="1"/>
    <xf numFmtId="0" fontId="5" fillId="2" borderId="0" xfId="1" applyFont="1" applyFill="1"/>
    <xf numFmtId="0" fontId="1" fillId="0" borderId="10" xfId="1" applyBorder="1" applyAlignment="1">
      <alignment wrapText="1"/>
    </xf>
    <xf numFmtId="0" fontId="1" fillId="4" borderId="1" xfId="1" applyFill="1" applyBorder="1"/>
    <xf numFmtId="0" fontId="1" fillId="5" borderId="1" xfId="1" applyFill="1" applyBorder="1"/>
    <xf numFmtId="0" fontId="1" fillId="2" borderId="0" xfId="1" applyFill="1" applyAlignment="1">
      <alignment wrapText="1"/>
    </xf>
    <xf numFmtId="0" fontId="5" fillId="2" borderId="0" xfId="1" applyFont="1" applyFill="1" applyBorder="1"/>
    <xf numFmtId="0" fontId="1" fillId="3" borderId="10" xfId="1" applyFont="1" applyFill="1" applyBorder="1" applyAlignment="1">
      <alignment wrapText="1"/>
    </xf>
    <xf numFmtId="0" fontId="1" fillId="0" borderId="12" xfId="1" applyFont="1" applyBorder="1" applyAlignment="1"/>
    <xf numFmtId="0" fontId="5" fillId="2" borderId="0" xfId="1" applyFont="1" applyFill="1" applyBorder="1" applyAlignment="1"/>
    <xf numFmtId="0" fontId="1" fillId="3" borderId="10" xfId="1" applyFill="1" applyBorder="1" applyAlignment="1">
      <alignment wrapText="1"/>
    </xf>
    <xf numFmtId="0" fontId="1" fillId="3" borderId="12" xfId="1" applyFill="1" applyBorder="1"/>
    <xf numFmtId="0" fontId="1" fillId="3" borderId="2" xfId="1" applyFill="1" applyBorder="1" applyAlignment="1">
      <alignment wrapText="1"/>
    </xf>
    <xf numFmtId="0" fontId="1" fillId="0" borderId="10" xfId="1" applyBorder="1" applyAlignment="1">
      <alignment horizontal="right" wrapText="1"/>
    </xf>
    <xf numFmtId="0" fontId="1" fillId="0" borderId="6" xfId="1" applyBorder="1" applyAlignment="1">
      <alignment wrapText="1"/>
    </xf>
    <xf numFmtId="0" fontId="1" fillId="2" borderId="0" xfId="1" applyFill="1" applyBorder="1"/>
    <xf numFmtId="0" fontId="2" fillId="2" borderId="0" xfId="1" applyFont="1" applyFill="1" applyAlignment="1">
      <alignment horizontal="right"/>
    </xf>
    <xf numFmtId="0" fontId="1" fillId="3" borderId="4" xfId="1" applyFill="1" applyBorder="1"/>
    <xf numFmtId="0" fontId="1" fillId="3" borderId="13" xfId="1" applyFill="1" applyBorder="1" applyAlignment="1">
      <alignment horizontal="right" wrapText="1"/>
    </xf>
    <xf numFmtId="0" fontId="1" fillId="4" borderId="1" xfId="1" applyFill="1" applyBorder="1" applyAlignment="1"/>
    <xf numFmtId="0" fontId="1" fillId="3" borderId="6" xfId="1" applyFill="1" applyBorder="1" applyAlignment="1">
      <alignment horizontal="right" wrapText="1"/>
    </xf>
    <xf numFmtId="0" fontId="1" fillId="3" borderId="2" xfId="1" applyFill="1" applyBorder="1" applyAlignment="1">
      <alignment horizontal="right" wrapText="1"/>
    </xf>
    <xf numFmtId="0" fontId="1" fillId="4" borderId="14" xfId="1" applyFill="1" applyBorder="1"/>
    <xf numFmtId="0" fontId="1" fillId="3" borderId="13" xfId="1" applyFill="1" applyBorder="1" applyAlignment="1">
      <alignment wrapText="1"/>
    </xf>
    <xf numFmtId="0" fontId="1" fillId="4" borderId="9" xfId="1" applyFill="1" applyBorder="1"/>
    <xf numFmtId="0" fontId="1" fillId="3" borderId="12" xfId="1" applyFill="1" applyBorder="1" applyAlignment="1">
      <alignment wrapText="1"/>
    </xf>
    <xf numFmtId="0" fontId="5" fillId="2" borderId="0" xfId="1" applyFont="1" applyFill="1" applyBorder="1" applyAlignment="1">
      <alignment wrapText="1"/>
    </xf>
    <xf numFmtId="0" fontId="1" fillId="0" borderId="2" xfId="1" applyBorder="1" applyAlignment="1">
      <alignment wrapText="1"/>
    </xf>
    <xf numFmtId="0" fontId="1" fillId="0" borderId="15" xfId="1" applyBorder="1"/>
    <xf numFmtId="0" fontId="1" fillId="0" borderId="4" xfId="1" applyBorder="1"/>
    <xf numFmtId="0" fontId="1" fillId="4" borderId="1" xfId="1" applyFill="1" applyBorder="1" applyAlignment="1">
      <alignment wrapText="1"/>
    </xf>
    <xf numFmtId="0" fontId="1" fillId="3" borderId="6" xfId="1" applyFill="1" applyBorder="1" applyAlignment="1">
      <alignment wrapText="1"/>
    </xf>
    <xf numFmtId="0" fontId="7" fillId="3" borderId="13" xfId="1" applyFont="1" applyFill="1" applyBorder="1" applyAlignment="1">
      <alignment wrapText="1"/>
    </xf>
    <xf numFmtId="0" fontId="7" fillId="3" borderId="6" xfId="1" applyFont="1" applyFill="1" applyBorder="1" applyAlignment="1">
      <alignment wrapText="1"/>
    </xf>
    <xf numFmtId="0" fontId="1" fillId="0" borderId="14" xfId="1" applyBorder="1"/>
    <xf numFmtId="0" fontId="2" fillId="0" borderId="0" xfId="1" applyFont="1"/>
    <xf numFmtId="0" fontId="1" fillId="2" borderId="0" xfId="1" applyFont="1" applyFill="1" applyBorder="1" applyAlignment="1"/>
    <xf numFmtId="0" fontId="1" fillId="2" borderId="0" xfId="1" applyFill="1" applyBorder="1" applyAlignment="1">
      <alignment wrapText="1"/>
    </xf>
    <xf numFmtId="0" fontId="1" fillId="2" borderId="13" xfId="1" applyFill="1" applyBorder="1"/>
    <xf numFmtId="0" fontId="2" fillId="0" borderId="5" xfId="1" applyFont="1" applyBorder="1"/>
    <xf numFmtId="0" fontId="2" fillId="0" borderId="5" xfId="1" applyFont="1" applyBorder="1" applyAlignment="1">
      <alignment wrapText="1"/>
    </xf>
    <xf numFmtId="0" fontId="2" fillId="0" borderId="14" xfId="1" applyFont="1" applyBorder="1"/>
    <xf numFmtId="0" fontId="1" fillId="3" borderId="5" xfId="1" applyFill="1" applyBorder="1"/>
    <xf numFmtId="0" fontId="1" fillId="0" borderId="1" xfId="1" applyBorder="1"/>
    <xf numFmtId="0" fontId="1" fillId="3" borderId="14" xfId="1" applyFill="1" applyBorder="1"/>
    <xf numFmtId="0" fontId="5" fillId="0" borderId="0" xfId="1" applyFont="1" applyFill="1" applyAlignment="1"/>
    <xf numFmtId="0" fontId="3" fillId="0" borderId="0" xfId="1" applyFont="1" applyAlignment="1"/>
    <xf numFmtId="0" fontId="4" fillId="0" borderId="0" xfId="1" applyFont="1" applyAlignment="1"/>
    <xf numFmtId="10" fontId="1" fillId="4" borderId="1" xfId="1" applyNumberFormat="1" applyFill="1" applyBorder="1"/>
    <xf numFmtId="10" fontId="1" fillId="2" borderId="0" xfId="1" applyNumberFormat="1" applyFill="1"/>
    <xf numFmtId="9" fontId="1" fillId="4" borderId="1" xfId="1" applyNumberFormat="1" applyFill="1" applyBorder="1"/>
    <xf numFmtId="0" fontId="1" fillId="4" borderId="1" xfId="1" applyNumberFormat="1" applyFill="1" applyBorder="1"/>
    <xf numFmtId="0" fontId="1" fillId="0" borderId="0" xfId="1" applyAlignment="1">
      <alignment wrapText="1"/>
    </xf>
    <xf numFmtId="0" fontId="1" fillId="4" borderId="12" xfId="1" applyFill="1" applyBorder="1" applyProtection="1">
      <protection locked="0"/>
    </xf>
    <xf numFmtId="0" fontId="1" fillId="2" borderId="0" xfId="1" quotePrefix="1" applyFill="1" applyBorder="1"/>
    <xf numFmtId="0" fontId="1" fillId="0" borderId="10" xfId="1" applyBorder="1" applyAlignment="1">
      <alignment wrapText="1"/>
    </xf>
    <xf numFmtId="0" fontId="1" fillId="2" borderId="0" xfId="1" applyFill="1" applyBorder="1" applyAlignment="1">
      <alignment wrapText="1"/>
    </xf>
    <xf numFmtId="0" fontId="1" fillId="0" borderId="10" xfId="1" applyBorder="1" applyAlignment="1">
      <alignment wrapText="1"/>
    </xf>
    <xf numFmtId="0" fontId="1" fillId="0" borderId="11" xfId="1" applyBorder="1" applyAlignment="1">
      <alignment wrapText="1"/>
    </xf>
    <xf numFmtId="0" fontId="1" fillId="2" borderId="0" xfId="1" applyFill="1" applyBorder="1" applyAlignment="1"/>
    <xf numFmtId="0" fontId="1" fillId="3" borderId="2" xfId="1" applyFill="1" applyBorder="1" applyAlignment="1"/>
    <xf numFmtId="0" fontId="1" fillId="3" borderId="3" xfId="1" applyFill="1" applyBorder="1" applyAlignment="1"/>
    <xf numFmtId="0" fontId="1" fillId="3" borderId="4" xfId="1" applyFill="1" applyBorder="1" applyAlignment="1"/>
    <xf numFmtId="0" fontId="1" fillId="3" borderId="6" xfId="1" applyFill="1" applyBorder="1" applyAlignment="1"/>
    <xf numFmtId="0" fontId="1" fillId="3" borderId="7" xfId="1" applyFill="1" applyBorder="1" applyAlignment="1"/>
    <xf numFmtId="0" fontId="1" fillId="3" borderId="8" xfId="1" applyFill="1" applyBorder="1" applyAlignment="1"/>
    <xf numFmtId="0" fontId="6" fillId="0" borderId="10" xfId="1" applyFont="1" applyBorder="1" applyAlignment="1"/>
    <xf numFmtId="0" fontId="1" fillId="0" borderId="11" xfId="1" applyBorder="1" applyAlignment="1"/>
    <xf numFmtId="0" fontId="1" fillId="0" borderId="12" xfId="1" applyBorder="1" applyAlignment="1"/>
    <xf numFmtId="0" fontId="6" fillId="0" borderId="11" xfId="1" applyFont="1" applyBorder="1" applyAlignment="1"/>
    <xf numFmtId="0" fontId="6" fillId="0" borderId="12" xfId="1" applyFont="1" applyBorder="1" applyAlignment="1"/>
    <xf numFmtId="0" fontId="11" fillId="0" borderId="10" xfId="1" applyFont="1" applyBorder="1"/>
    <xf numFmtId="0" fontId="11" fillId="0" borderId="11" xfId="1" applyFont="1" applyBorder="1"/>
    <xf numFmtId="0" fontId="11" fillId="0" borderId="16" xfId="1" applyFont="1" applyBorder="1"/>
    <xf numFmtId="0" fontId="1" fillId="0" borderId="0" xfId="1" applyAlignment="1">
      <alignment wrapText="1"/>
    </xf>
  </cellXfs>
  <cellStyles count="8">
    <cellStyle name="Hivatkozás" xfId="2" builtinId="8" hidden="1"/>
    <cellStyle name="Hivatkozás" xfId="4" builtinId="8" hidden="1"/>
    <cellStyle name="Hivatkozás" xfId="6" builtinId="8" hidden="1"/>
    <cellStyle name="Látott hivatkozás" xfId="3" builtinId="9" hidden="1"/>
    <cellStyle name="Látott hivatkozás" xfId="5" builtinId="9" hidden="1"/>
    <cellStyle name="Látott hivatkozás" xfId="7" builtinId="9" hidden="1"/>
    <cellStyle name="Normá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57</xdr:row>
          <xdr:rowOff>85725</xdr:rowOff>
        </xdr:from>
        <xdr:to>
          <xdr:col>6</xdr:col>
          <xdr:colOff>381000</xdr:colOff>
          <xdr:row>58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59</xdr:row>
          <xdr:rowOff>238125</xdr:rowOff>
        </xdr:from>
        <xdr:to>
          <xdr:col>6</xdr:col>
          <xdr:colOff>495300</xdr:colOff>
          <xdr:row>60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5</xdr:col>
      <xdr:colOff>469900</xdr:colOff>
      <xdr:row>53</xdr:row>
      <xdr:rowOff>0</xdr:rowOff>
    </xdr:from>
    <xdr:to>
      <xdr:col>8</xdr:col>
      <xdr:colOff>690880</xdr:colOff>
      <xdr:row>56</xdr:row>
      <xdr:rowOff>152400</xdr:rowOff>
    </xdr:to>
    <xdr:grpSp>
      <xdr:nvGrpSpPr>
        <xdr:cNvPr id="4" name="Group 3"/>
        <xdr:cNvGrpSpPr/>
      </xdr:nvGrpSpPr>
      <xdr:grpSpPr>
        <a:xfrm>
          <a:off x="6127750" y="11277600"/>
          <a:ext cx="3240405" cy="723900"/>
          <a:chOff x="6172200" y="13970000"/>
          <a:chExt cx="3230880" cy="723900"/>
        </a:xfrm>
      </xdr:grpSpPr>
      <xdr:sp macro="" textlink="">
        <xdr:nvSpPr>
          <xdr:cNvPr id="5" name="Rounded Rectangular Callout 4"/>
          <xdr:cNvSpPr/>
        </xdr:nvSpPr>
        <xdr:spPr>
          <a:xfrm>
            <a:off x="6172200" y="13970000"/>
            <a:ext cx="3230880" cy="723900"/>
          </a:xfrm>
          <a:prstGeom prst="wedgeRoundRectCallout">
            <a:avLst>
              <a:gd name="adj1" fmla="val -44712"/>
              <a:gd name="adj2" fmla="val 90480"/>
              <a:gd name="adj3" fmla="val 16667"/>
            </a:avLst>
          </a:prstGeom>
          <a:solidFill>
            <a:srgbClr val="008000"/>
          </a:solidFill>
          <a:ln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$M$84">
        <xdr:nvSpPr>
          <xdr:cNvPr id="6" name="TextBox 5"/>
          <xdr:cNvSpPr txBox="1"/>
        </xdr:nvSpPr>
        <xdr:spPr>
          <a:xfrm>
            <a:off x="6259970" y="14016989"/>
            <a:ext cx="3024502" cy="645582"/>
          </a:xfrm>
          <a:prstGeom prst="rect">
            <a:avLst/>
          </a:prstGeom>
          <a:solidFill>
            <a:srgbClr val="CCFFCC"/>
          </a:solidFill>
          <a:ln w="38100" cmpd="sng">
            <a:solidFill>
              <a:srgbClr val="008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fld id="{279301D7-6CC7-1141-B119-EB35005EB322}" type="TxLink">
              <a:rPr lang="en-US" sz="900">
                <a:solidFill>
                  <a:schemeClr val="tx1"/>
                </a:solidFill>
              </a:rPr>
              <a:pPr/>
              <a:t>Attention! The variance and the standard deviation are ESTIMATED with not these formulae but with the ones with corrections (i.e. having n–1 instead of n in the denominator).</a:t>
            </a:fld>
            <a:endParaRPr lang="en-US" sz="9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889000</xdr:colOff>
      <xdr:row>83</xdr:row>
      <xdr:rowOff>127000</xdr:rowOff>
    </xdr:from>
    <xdr:to>
      <xdr:col>4</xdr:col>
      <xdr:colOff>487680</xdr:colOff>
      <xdr:row>86</xdr:row>
      <xdr:rowOff>88900</xdr:rowOff>
    </xdr:to>
    <xdr:grpSp>
      <xdr:nvGrpSpPr>
        <xdr:cNvPr id="7" name="Group 6"/>
        <xdr:cNvGrpSpPr/>
      </xdr:nvGrpSpPr>
      <xdr:grpSpPr>
        <a:xfrm>
          <a:off x="1898650" y="18929350"/>
          <a:ext cx="3227705" cy="771525"/>
          <a:chOff x="1854200" y="21666200"/>
          <a:chExt cx="3230880" cy="711200"/>
        </a:xfrm>
      </xdr:grpSpPr>
      <xdr:sp macro="" textlink="">
        <xdr:nvSpPr>
          <xdr:cNvPr id="8" name="Rounded Rectangular Callout 7"/>
          <xdr:cNvSpPr/>
        </xdr:nvSpPr>
        <xdr:spPr>
          <a:xfrm>
            <a:off x="1854200" y="21666200"/>
            <a:ext cx="3230880" cy="711200"/>
          </a:xfrm>
          <a:prstGeom prst="wedgeRoundRectCallout">
            <a:avLst>
              <a:gd name="adj1" fmla="val 92474"/>
              <a:gd name="adj2" fmla="val 24789"/>
              <a:gd name="adj3" fmla="val 16667"/>
            </a:avLst>
          </a:prstGeom>
          <a:solidFill>
            <a:srgbClr val="008000"/>
          </a:solidFill>
          <a:ln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$M$86">
        <xdr:nvSpPr>
          <xdr:cNvPr id="9" name="TextBox 8"/>
          <xdr:cNvSpPr txBox="1"/>
        </xdr:nvSpPr>
        <xdr:spPr>
          <a:xfrm>
            <a:off x="1941970" y="21678899"/>
            <a:ext cx="3024502" cy="647239"/>
          </a:xfrm>
          <a:prstGeom prst="rect">
            <a:avLst/>
          </a:prstGeom>
          <a:solidFill>
            <a:srgbClr val="CCFFCC"/>
          </a:solidFill>
          <a:ln w="38100" cmpd="sng">
            <a:solidFill>
              <a:srgbClr val="008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fld id="{4008826A-02ED-0C42-A364-6578E2AA17A7}" type="TxLink">
              <a:rPr lang="en-US" sz="900">
                <a:solidFill>
                  <a:schemeClr val="tx1"/>
                </a:solidFill>
              </a:rPr>
              <a:pPr/>
              <a:t>When k is changed, the formula in cell G101 gives the k-th moment (around zero) and the one in cell H101 gives the k-th central moment (around the mean).</a:t>
            </a:fld>
            <a:endParaRPr lang="en-US" sz="9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8</xdr:col>
      <xdr:colOff>844804</xdr:colOff>
      <xdr:row>60</xdr:row>
      <xdr:rowOff>42672</xdr:rowOff>
    </xdr:to>
    <xdr:pic>
      <xdr:nvPicPr>
        <xdr:cNvPr id="2" name="Picture 1" descr="Percentile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181100"/>
          <a:ext cx="7004304" cy="96438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5</xdr:row>
      <xdr:rowOff>152400</xdr:rowOff>
    </xdr:from>
    <xdr:to>
      <xdr:col>8</xdr:col>
      <xdr:colOff>133604</xdr:colOff>
      <xdr:row>60</xdr:row>
      <xdr:rowOff>17272</xdr:rowOff>
    </xdr:to>
    <xdr:pic>
      <xdr:nvPicPr>
        <xdr:cNvPr id="17" name="Picture 16" descr="Percentile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55700"/>
          <a:ext cx="7004304" cy="9643872"/>
        </a:xfrm>
        <a:prstGeom prst="rect">
          <a:avLst/>
        </a:prstGeom>
      </xdr:spPr>
    </xdr:pic>
    <xdr:clientData/>
  </xdr:twoCellAnchor>
  <xdr:twoCellAnchor>
    <xdr:from>
      <xdr:col>1</xdr:col>
      <xdr:colOff>254000</xdr:colOff>
      <xdr:row>19</xdr:row>
      <xdr:rowOff>133350</xdr:rowOff>
    </xdr:from>
    <xdr:to>
      <xdr:col>7</xdr:col>
      <xdr:colOff>307975</xdr:colOff>
      <xdr:row>55</xdr:row>
      <xdr:rowOff>63500</xdr:rowOff>
    </xdr:to>
    <xdr:grpSp>
      <xdr:nvGrpSpPr>
        <xdr:cNvPr id="2" name="Group 1"/>
        <xdr:cNvGrpSpPr/>
      </xdr:nvGrpSpPr>
      <xdr:grpSpPr>
        <a:xfrm>
          <a:off x="434975" y="3962400"/>
          <a:ext cx="5940425" cy="6788150"/>
          <a:chOff x="1079500" y="3625850"/>
          <a:chExt cx="5921375" cy="6330950"/>
        </a:xfrm>
      </xdr:grpSpPr>
      <xdr:cxnSp macro="">
        <xdr:nvCxnSpPr>
          <xdr:cNvPr id="3" name="Straight Arrow Connector 2"/>
          <xdr:cNvCxnSpPr/>
        </xdr:nvCxnSpPr>
        <xdr:spPr>
          <a:xfrm>
            <a:off x="1333500" y="6883400"/>
            <a:ext cx="1892300" cy="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4" name="Straight Arrow Connector 3"/>
          <xdr:cNvCxnSpPr/>
        </xdr:nvCxnSpPr>
        <xdr:spPr>
          <a:xfrm flipV="1">
            <a:off x="3225800" y="6870700"/>
            <a:ext cx="0" cy="30861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 flipV="1">
            <a:off x="3225800" y="6223000"/>
            <a:ext cx="635000" cy="65405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6" name="Straight Connector 5"/>
          <xdr:cNvCxnSpPr/>
        </xdr:nvCxnSpPr>
        <xdr:spPr>
          <a:xfrm flipV="1">
            <a:off x="3843867" y="5899150"/>
            <a:ext cx="343958" cy="345017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7" name="Straight Connector 6"/>
          <xdr:cNvCxnSpPr/>
        </xdr:nvCxnSpPr>
        <xdr:spPr>
          <a:xfrm flipV="1">
            <a:off x="4174067" y="5600700"/>
            <a:ext cx="304800" cy="3048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/>
        </xdr:nvCxnSpPr>
        <xdr:spPr>
          <a:xfrm flipV="1">
            <a:off x="4464050" y="5304368"/>
            <a:ext cx="332316" cy="302682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 flipV="1">
            <a:off x="4794250" y="5041901"/>
            <a:ext cx="315383" cy="260349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0" name="Straight Connector 9"/>
          <xdr:cNvCxnSpPr/>
        </xdr:nvCxnSpPr>
        <xdr:spPr>
          <a:xfrm flipV="1">
            <a:off x="5111750" y="4800600"/>
            <a:ext cx="311150" cy="241301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1" name="Straight Connector 10"/>
          <xdr:cNvCxnSpPr/>
        </xdr:nvCxnSpPr>
        <xdr:spPr>
          <a:xfrm flipV="1">
            <a:off x="5422900" y="4565650"/>
            <a:ext cx="323850" cy="23495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2" name="Straight Connector 11"/>
          <xdr:cNvCxnSpPr/>
        </xdr:nvCxnSpPr>
        <xdr:spPr>
          <a:xfrm flipV="1">
            <a:off x="5740400" y="4152900"/>
            <a:ext cx="626533" cy="414867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3" name="Straight Connector 12"/>
          <xdr:cNvCxnSpPr/>
        </xdr:nvCxnSpPr>
        <xdr:spPr>
          <a:xfrm flipV="1">
            <a:off x="6366933" y="3814234"/>
            <a:ext cx="436034" cy="338666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4" name="Straight Arrow Connector 13"/>
          <xdr:cNvCxnSpPr/>
        </xdr:nvCxnSpPr>
        <xdr:spPr>
          <a:xfrm flipV="1">
            <a:off x="6802967" y="3625850"/>
            <a:ext cx="197908" cy="189443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15" name="Rounded Rectangular Callout 14"/>
          <xdr:cNvSpPr/>
        </xdr:nvSpPr>
        <xdr:spPr>
          <a:xfrm>
            <a:off x="1079500" y="4597400"/>
            <a:ext cx="3230880" cy="685800"/>
          </a:xfrm>
          <a:prstGeom prst="wedgeRoundRectCallout">
            <a:avLst>
              <a:gd name="adj1" fmla="val 15823"/>
              <a:gd name="adj2" fmla="val 278493"/>
              <a:gd name="adj3" fmla="val 16667"/>
            </a:avLst>
          </a:prstGeom>
          <a:solidFill>
            <a:srgbClr val="008000"/>
          </a:solidFill>
          <a:ln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</xdr:grpSp>
    <xdr:clientData/>
  </xdr:twoCellAnchor>
  <xdr:twoCellAnchor>
    <xdr:from>
      <xdr:col>1</xdr:col>
      <xdr:colOff>341770</xdr:colOff>
      <xdr:row>25</xdr:row>
      <xdr:rowOff>88900</xdr:rowOff>
    </xdr:from>
    <xdr:to>
      <xdr:col>4</xdr:col>
      <xdr:colOff>432572</xdr:colOff>
      <xdr:row>28</xdr:row>
      <xdr:rowOff>160940</xdr:rowOff>
    </xdr:to>
    <xdr:sp macro="" textlink="$M$25">
      <xdr:nvSpPr>
        <xdr:cNvPr id="16" name="TextBox 15"/>
        <xdr:cNvSpPr txBox="1"/>
      </xdr:nvSpPr>
      <xdr:spPr>
        <a:xfrm>
          <a:off x="519570" y="4648200"/>
          <a:ext cx="3024502" cy="605440"/>
        </a:xfrm>
        <a:prstGeom prst="rect">
          <a:avLst/>
        </a:prstGeom>
        <a:solidFill>
          <a:srgbClr val="CCFFCC"/>
        </a:solidFill>
        <a:ln w="38100" cmpd="sng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000E954C-AE9C-D545-AD01-84DC9B6748F9}" type="TxLink">
            <a:rPr lang="en-US" sz="900">
              <a:solidFill>
                <a:schemeClr val="tx1"/>
              </a:solidFill>
            </a:rPr>
            <a:pPr/>
            <a:t>Reading of the age (vartically, to the x-axis), BMI (horizontally, to the y-axis), and percentile (along the curved line) values for question #1.</a:t>
          </a:fld>
          <a:endParaRPr lang="en-US" sz="9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101"/>
  <sheetViews>
    <sheetView tabSelected="1" workbookViewId="0">
      <selection activeCell="D2" sqref="D2"/>
    </sheetView>
  </sheetViews>
  <sheetFormatPr defaultColWidth="0" defaultRowHeight="14.1" customHeight="1" zeroHeight="1" x14ac:dyDescent="0.25"/>
  <cols>
    <col min="1" max="1" width="8.625" style="3" customWidth="1"/>
    <col min="2" max="2" width="3.125" style="3" bestFit="1" customWidth="1"/>
    <col min="3" max="3" width="36.875" style="67" customWidth="1"/>
    <col min="4" max="4" width="8.875" style="3" customWidth="1"/>
    <col min="5" max="12" width="8.625" style="3" customWidth="1"/>
    <col min="13" max="13" width="41.625" style="67" hidden="1" customWidth="1"/>
    <col min="14" max="14" width="44.625" style="11" hidden="1" customWidth="1"/>
    <col min="15" max="15" width="43.125" style="12" hidden="1" customWidth="1"/>
    <col min="16" max="16384" width="10.875" style="3" hidden="1"/>
  </cols>
  <sheetData>
    <row r="1" spans="1:15" ht="15" x14ac:dyDescent="0.25">
      <c r="A1" s="1"/>
      <c r="B1" s="1"/>
      <c r="C1" s="20"/>
      <c r="D1" s="1"/>
      <c r="E1" s="1"/>
      <c r="F1" s="1"/>
      <c r="G1" s="1"/>
      <c r="H1" s="1"/>
      <c r="I1" s="1"/>
      <c r="J1" s="1"/>
      <c r="K1" s="1"/>
      <c r="L1" s="1"/>
    </row>
    <row r="2" spans="1:15" ht="44.1" customHeight="1" x14ac:dyDescent="0.25">
      <c r="A2" s="1"/>
      <c r="B2" s="72" t="s">
        <v>369</v>
      </c>
      <c r="C2" s="73"/>
      <c r="D2" s="68" t="s">
        <v>370</v>
      </c>
      <c r="E2" s="1"/>
      <c r="F2" s="1"/>
      <c r="G2" s="1"/>
      <c r="H2" s="1"/>
      <c r="I2" s="1"/>
      <c r="J2" s="1"/>
      <c r="K2" s="1"/>
      <c r="L2" s="1"/>
      <c r="M2" s="67" t="s">
        <v>371</v>
      </c>
      <c r="N2" s="11" t="s">
        <v>372</v>
      </c>
      <c r="O2" s="12" t="s">
        <v>370</v>
      </c>
    </row>
    <row r="3" spans="1:15" ht="45" x14ac:dyDescent="0.25">
      <c r="A3" s="1"/>
      <c r="B3" s="1"/>
      <c r="C3" s="20" t="str">
        <f>IF($D$2=$M$2,M3,IF($D$2=$N$2,N3,O3))</f>
        <v>Created by: Gergely AGÓCS PhD (Please send comments and reflections (e.g. on possible errors) to: gergelyagocs at gmail com)</v>
      </c>
      <c r="D3" s="1"/>
      <c r="E3" s="1"/>
      <c r="F3" s="1"/>
      <c r="G3" s="1"/>
      <c r="H3" s="1"/>
      <c r="I3" s="1"/>
      <c r="J3" s="1"/>
      <c r="K3" s="1"/>
      <c r="L3" s="1"/>
      <c r="M3" s="67" t="s">
        <v>373</v>
      </c>
      <c r="N3" s="11" t="s">
        <v>374</v>
      </c>
      <c r="O3" s="12" t="s">
        <v>375</v>
      </c>
    </row>
    <row r="4" spans="1:15" ht="15" x14ac:dyDescent="0.25">
      <c r="A4" s="30"/>
      <c r="B4" s="30"/>
      <c r="C4" s="71"/>
      <c r="D4" s="74"/>
      <c r="E4" s="30"/>
      <c r="F4" s="1"/>
      <c r="G4" s="1"/>
      <c r="H4" s="1"/>
      <c r="I4" s="1"/>
      <c r="J4" s="1"/>
      <c r="K4" s="1"/>
      <c r="L4" s="1"/>
      <c r="M4" s="67" t="s">
        <v>376</v>
      </c>
      <c r="N4" s="11" t="s">
        <v>377</v>
      </c>
      <c r="O4" s="12" t="s">
        <v>378</v>
      </c>
    </row>
    <row r="5" spans="1:15" ht="15" x14ac:dyDescent="0.25">
      <c r="A5" s="30"/>
      <c r="B5" s="69"/>
      <c r="C5" s="71"/>
      <c r="D5" s="71"/>
      <c r="E5" s="30"/>
      <c r="F5" s="1"/>
      <c r="G5" s="1"/>
      <c r="H5" s="1"/>
      <c r="I5" s="1"/>
      <c r="J5" s="1"/>
      <c r="K5" s="1"/>
      <c r="L5" s="1"/>
      <c r="M5" s="67" t="s">
        <v>379</v>
      </c>
      <c r="N5" s="11" t="s">
        <v>380</v>
      </c>
      <c r="O5" s="12" t="s">
        <v>381</v>
      </c>
    </row>
    <row r="6" spans="1:15" ht="45" x14ac:dyDescent="0.25">
      <c r="A6" s="30"/>
      <c r="B6" s="69"/>
      <c r="C6" s="71"/>
      <c r="D6" s="71"/>
      <c r="E6" s="30"/>
      <c r="F6" s="1"/>
      <c r="G6" s="1"/>
      <c r="H6" s="1"/>
      <c r="I6" s="1"/>
      <c r="J6" s="1"/>
      <c r="K6" s="1"/>
      <c r="L6" s="1"/>
      <c r="M6" s="67" t="s">
        <v>382</v>
      </c>
      <c r="N6" s="11" t="s">
        <v>383</v>
      </c>
      <c r="O6" s="12" t="s">
        <v>384</v>
      </c>
    </row>
    <row r="7" spans="1:15" ht="15" x14ac:dyDescent="0.25">
      <c r="A7" s="30"/>
      <c r="B7" s="69"/>
      <c r="C7" s="71"/>
      <c r="D7" s="71"/>
      <c r="E7" s="30"/>
      <c r="F7" s="1"/>
      <c r="G7" s="1"/>
      <c r="H7" s="1"/>
      <c r="I7" s="1"/>
      <c r="J7" s="1"/>
      <c r="K7" s="1"/>
      <c r="L7" s="1"/>
      <c r="M7" s="67" t="s">
        <v>385</v>
      </c>
      <c r="N7" s="11" t="s">
        <v>386</v>
      </c>
      <c r="O7" s="12" t="s">
        <v>387</v>
      </c>
    </row>
    <row r="8" spans="1:15" ht="30" x14ac:dyDescent="0.25">
      <c r="A8" s="30"/>
      <c r="B8" s="69"/>
      <c r="C8" s="71"/>
      <c r="D8" s="71"/>
      <c r="E8" s="30"/>
      <c r="F8" s="1"/>
      <c r="G8" s="1"/>
      <c r="H8" s="1"/>
      <c r="I8" s="1"/>
      <c r="J8" s="1"/>
      <c r="K8" s="1"/>
      <c r="L8" s="1"/>
      <c r="M8" s="67" t="s">
        <v>388</v>
      </c>
      <c r="N8" s="11" t="s">
        <v>389</v>
      </c>
      <c r="O8" s="12" t="s">
        <v>390</v>
      </c>
    </row>
    <row r="9" spans="1:15" ht="30" x14ac:dyDescent="0.25">
      <c r="A9" s="30"/>
      <c r="B9" s="69"/>
      <c r="C9" s="71"/>
      <c r="D9" s="71"/>
      <c r="E9" s="30"/>
      <c r="F9" s="1"/>
      <c r="G9" s="1"/>
      <c r="H9" s="1"/>
      <c r="I9" s="1"/>
      <c r="J9" s="1"/>
      <c r="K9" s="1"/>
      <c r="L9" s="1"/>
      <c r="M9" s="67" t="s">
        <v>391</v>
      </c>
      <c r="N9" s="11" t="s">
        <v>392</v>
      </c>
      <c r="O9" s="12" t="s">
        <v>393</v>
      </c>
    </row>
    <row r="10" spans="1:15" ht="30" x14ac:dyDescent="0.25">
      <c r="A10" s="30"/>
      <c r="B10" s="69"/>
      <c r="C10" s="71"/>
      <c r="D10" s="71"/>
      <c r="E10" s="30"/>
      <c r="F10" s="1"/>
      <c r="G10" s="1"/>
      <c r="H10" s="1"/>
      <c r="I10" s="1"/>
      <c r="J10" s="1"/>
      <c r="K10" s="1"/>
      <c r="L10" s="1"/>
      <c r="M10" s="67" t="s">
        <v>394</v>
      </c>
      <c r="N10" s="11" t="s">
        <v>395</v>
      </c>
      <c r="O10" s="12" t="s">
        <v>396</v>
      </c>
    </row>
    <row r="11" spans="1:15" ht="45" x14ac:dyDescent="0.25">
      <c r="A11" s="30"/>
      <c r="B11" s="69"/>
      <c r="C11" s="71"/>
      <c r="D11" s="71"/>
      <c r="E11" s="30"/>
      <c r="F11" s="1"/>
      <c r="G11" s="1"/>
      <c r="H11" s="1"/>
      <c r="I11" s="1"/>
      <c r="J11" s="1"/>
      <c r="K11" s="1"/>
      <c r="L11" s="1"/>
      <c r="M11" s="67" t="s">
        <v>397</v>
      </c>
      <c r="N11" s="11" t="s">
        <v>398</v>
      </c>
      <c r="O11" s="12" t="s">
        <v>399</v>
      </c>
    </row>
    <row r="12" spans="1:15" ht="45" x14ac:dyDescent="0.25">
      <c r="A12" s="30"/>
      <c r="B12" s="69"/>
      <c r="C12" s="71"/>
      <c r="D12" s="71"/>
      <c r="E12" s="30"/>
      <c r="F12" s="1"/>
      <c r="G12" s="1"/>
      <c r="H12" s="1"/>
      <c r="I12" s="1"/>
      <c r="J12" s="1"/>
      <c r="K12" s="1"/>
      <c r="L12" s="1"/>
      <c r="M12" s="67" t="s">
        <v>400</v>
      </c>
      <c r="N12" s="11" t="s">
        <v>401</v>
      </c>
      <c r="O12" s="12" t="s">
        <v>402</v>
      </c>
    </row>
    <row r="13" spans="1:15" ht="30" x14ac:dyDescent="0.25">
      <c r="A13" s="30"/>
      <c r="B13" s="69"/>
      <c r="C13" s="71"/>
      <c r="D13" s="71"/>
      <c r="E13" s="30"/>
      <c r="F13" s="1"/>
      <c r="G13" s="1"/>
      <c r="H13" s="1"/>
      <c r="I13" s="1"/>
      <c r="J13" s="1"/>
      <c r="K13" s="1"/>
      <c r="L13" s="1"/>
      <c r="M13" s="67" t="s">
        <v>403</v>
      </c>
      <c r="N13" s="11" t="s">
        <v>404</v>
      </c>
      <c r="O13" s="12" t="s">
        <v>405</v>
      </c>
    </row>
    <row r="14" spans="1:15" ht="15" x14ac:dyDescent="0.25">
      <c r="A14" s="30"/>
      <c r="B14" s="69"/>
      <c r="C14" s="71"/>
      <c r="D14" s="71"/>
      <c r="E14" s="30"/>
      <c r="F14" s="1"/>
      <c r="G14" s="1"/>
      <c r="H14" s="1"/>
      <c r="I14" s="1"/>
      <c r="J14" s="1"/>
      <c r="K14" s="1"/>
      <c r="L14" s="1"/>
      <c r="M14" s="67" t="s">
        <v>406</v>
      </c>
      <c r="N14" s="11" t="s">
        <v>407</v>
      </c>
      <c r="O14" s="12" t="s">
        <v>408</v>
      </c>
    </row>
    <row r="15" spans="1:15" ht="15" x14ac:dyDescent="0.25">
      <c r="A15" s="30"/>
      <c r="B15" s="69"/>
      <c r="C15" s="71"/>
      <c r="D15" s="71"/>
      <c r="E15" s="30"/>
      <c r="F15" s="1"/>
      <c r="G15" s="1"/>
      <c r="H15" s="1"/>
      <c r="I15" s="1"/>
      <c r="J15" s="1"/>
      <c r="K15" s="1"/>
      <c r="L15" s="1"/>
      <c r="M15" s="67" t="s">
        <v>409</v>
      </c>
      <c r="N15" s="11" t="s">
        <v>410</v>
      </c>
      <c r="O15" s="12" t="s">
        <v>411</v>
      </c>
    </row>
    <row r="16" spans="1:15" ht="30" x14ac:dyDescent="0.25">
      <c r="A16" s="30"/>
      <c r="B16" s="69"/>
      <c r="C16" s="71"/>
      <c r="D16" s="71"/>
      <c r="E16" s="30"/>
      <c r="F16" s="1"/>
      <c r="G16" s="1"/>
      <c r="H16" s="1"/>
      <c r="I16" s="1"/>
      <c r="J16" s="1"/>
      <c r="K16" s="1"/>
      <c r="L16" s="1"/>
      <c r="M16" s="67" t="s">
        <v>412</v>
      </c>
      <c r="N16" s="11" t="s">
        <v>413</v>
      </c>
      <c r="O16" s="12" t="s">
        <v>414</v>
      </c>
    </row>
    <row r="17" spans="1:15" ht="30" x14ac:dyDescent="0.25">
      <c r="A17" s="30"/>
      <c r="B17" s="69"/>
      <c r="C17" s="71"/>
      <c r="D17" s="71"/>
      <c r="E17" s="30"/>
      <c r="F17" s="1"/>
      <c r="G17" s="1"/>
      <c r="H17" s="1"/>
      <c r="I17" s="1"/>
      <c r="J17" s="1"/>
      <c r="K17" s="1"/>
      <c r="L17" s="1"/>
      <c r="M17" s="67" t="s">
        <v>415</v>
      </c>
      <c r="N17" s="11" t="s">
        <v>416</v>
      </c>
      <c r="O17" s="12" t="s">
        <v>417</v>
      </c>
    </row>
    <row r="18" spans="1:15" ht="30" x14ac:dyDescent="0.25">
      <c r="A18" s="30"/>
      <c r="B18" s="69"/>
      <c r="C18" s="71"/>
      <c r="D18" s="71"/>
      <c r="E18" s="30"/>
      <c r="F18" s="1"/>
      <c r="G18" s="1"/>
      <c r="H18" s="1"/>
      <c r="I18" s="1"/>
      <c r="J18" s="1"/>
      <c r="K18" s="1"/>
      <c r="L18" s="1"/>
      <c r="M18" s="67" t="s">
        <v>418</v>
      </c>
      <c r="N18" s="4" t="s">
        <v>419</v>
      </c>
      <c r="O18" s="5" t="s">
        <v>420</v>
      </c>
    </row>
    <row r="19" spans="1:15" ht="15" x14ac:dyDescent="0.25">
      <c r="A19" s="30"/>
      <c r="B19" s="69"/>
      <c r="C19" s="71"/>
      <c r="D19" s="71"/>
      <c r="E19" s="30"/>
      <c r="F19" s="1"/>
      <c r="G19" s="1"/>
      <c r="H19" s="1"/>
      <c r="I19" s="1"/>
      <c r="J19" s="1"/>
      <c r="K19" s="1"/>
      <c r="L19" s="1"/>
      <c r="M19" s="67" t="s">
        <v>421</v>
      </c>
      <c r="N19" s="4" t="s">
        <v>422</v>
      </c>
      <c r="O19" s="5" t="s">
        <v>423</v>
      </c>
    </row>
    <row r="20" spans="1:15" ht="15" x14ac:dyDescent="0.25">
      <c r="A20" s="30"/>
      <c r="B20" s="69"/>
      <c r="C20" s="71"/>
      <c r="D20" s="71"/>
      <c r="E20" s="30"/>
      <c r="F20" s="1"/>
      <c r="G20" s="1"/>
      <c r="H20" s="1"/>
      <c r="I20" s="1"/>
      <c r="J20" s="1"/>
      <c r="K20" s="1"/>
      <c r="L20" s="1"/>
      <c r="M20" s="3"/>
      <c r="N20" s="4"/>
      <c r="O20" s="5"/>
    </row>
    <row r="21" spans="1:15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4"/>
      <c r="O21" s="5"/>
    </row>
    <row r="22" spans="1:15" ht="15" hidden="1" x14ac:dyDescent="0.25">
      <c r="C22" s="3"/>
      <c r="M22" s="3"/>
      <c r="N22" s="4"/>
      <c r="O22" s="5"/>
    </row>
    <row r="23" spans="1:15" ht="15" hidden="1" x14ac:dyDescent="0.25">
      <c r="C23" s="3"/>
      <c r="M23" s="3"/>
      <c r="N23" s="4"/>
      <c r="O23" s="5"/>
    </row>
    <row r="24" spans="1:15" ht="15" hidden="1" x14ac:dyDescent="0.25">
      <c r="C24" s="3"/>
      <c r="M24" s="3"/>
      <c r="N24" s="4"/>
      <c r="O24" s="5"/>
    </row>
    <row r="25" spans="1:15" ht="15" hidden="1" x14ac:dyDescent="0.25">
      <c r="C25" s="3"/>
      <c r="M25" s="3"/>
      <c r="N25" s="4"/>
      <c r="O25" s="5"/>
    </row>
    <row r="26" spans="1:15" ht="15" hidden="1" x14ac:dyDescent="0.25">
      <c r="C26" s="3"/>
      <c r="M26" s="3"/>
      <c r="N26" s="4"/>
      <c r="O26" s="5"/>
    </row>
    <row r="27" spans="1:15" ht="15" hidden="1" x14ac:dyDescent="0.25">
      <c r="C27" s="3"/>
      <c r="M27" s="3"/>
      <c r="N27" s="4"/>
      <c r="O27" s="5"/>
    </row>
    <row r="28" spans="1:15" ht="15" hidden="1" x14ac:dyDescent="0.25">
      <c r="C28" s="3"/>
      <c r="M28" s="3"/>
      <c r="N28" s="4"/>
      <c r="O28" s="5"/>
    </row>
    <row r="29" spans="1:15" ht="15" hidden="1" x14ac:dyDescent="0.25">
      <c r="C29" s="3"/>
      <c r="M29" s="3"/>
      <c r="N29" s="4"/>
      <c r="O29" s="5"/>
    </row>
    <row r="30" spans="1:15" ht="15" hidden="1" x14ac:dyDescent="0.25">
      <c r="C30" s="3"/>
      <c r="M30" s="3"/>
      <c r="N30" s="4"/>
      <c r="O30" s="5"/>
    </row>
    <row r="31" spans="1:15" ht="15" hidden="1" x14ac:dyDescent="0.25">
      <c r="C31" s="3"/>
      <c r="M31" s="3"/>
      <c r="N31" s="4"/>
      <c r="O31" s="5"/>
    </row>
    <row r="32" spans="1:15" ht="15" hidden="1" x14ac:dyDescent="0.25">
      <c r="C32" s="3"/>
      <c r="M32" s="3"/>
      <c r="N32" s="4"/>
      <c r="O32" s="5"/>
    </row>
    <row r="33" spans="3:15" ht="15" hidden="1" x14ac:dyDescent="0.25">
      <c r="C33" s="3"/>
      <c r="M33" s="3"/>
      <c r="N33" s="4"/>
      <c r="O33" s="5"/>
    </row>
    <row r="34" spans="3:15" ht="15" hidden="1" x14ac:dyDescent="0.25">
      <c r="C34" s="3"/>
      <c r="M34" s="3"/>
      <c r="N34" s="4"/>
      <c r="O34" s="5"/>
    </row>
    <row r="35" spans="3:15" ht="15" hidden="1" x14ac:dyDescent="0.25">
      <c r="C35" s="3"/>
      <c r="M35" s="3"/>
      <c r="N35" s="4"/>
      <c r="O35" s="5"/>
    </row>
    <row r="36" spans="3:15" ht="15" hidden="1" x14ac:dyDescent="0.25">
      <c r="C36" s="3"/>
      <c r="M36" s="3"/>
      <c r="N36" s="4"/>
      <c r="O36" s="5"/>
    </row>
    <row r="37" spans="3:15" ht="15" hidden="1" x14ac:dyDescent="0.25">
      <c r="C37" s="3"/>
      <c r="M37" s="3"/>
      <c r="N37" s="4"/>
      <c r="O37" s="5"/>
    </row>
    <row r="38" spans="3:15" ht="15" hidden="1" x14ac:dyDescent="0.25">
      <c r="C38" s="3"/>
      <c r="M38" s="3"/>
      <c r="N38" s="4"/>
      <c r="O38" s="5"/>
    </row>
    <row r="39" spans="3:15" ht="15" hidden="1" x14ac:dyDescent="0.25">
      <c r="C39" s="3"/>
      <c r="M39" s="3"/>
      <c r="N39" s="4"/>
      <c r="O39" s="5"/>
    </row>
    <row r="40" spans="3:15" ht="15" hidden="1" x14ac:dyDescent="0.25">
      <c r="C40" s="3"/>
      <c r="M40" s="3"/>
      <c r="N40" s="4"/>
      <c r="O40" s="5"/>
    </row>
    <row r="41" spans="3:15" ht="15" hidden="1" x14ac:dyDescent="0.25">
      <c r="C41" s="3"/>
      <c r="M41" s="3"/>
      <c r="N41" s="4"/>
      <c r="O41" s="5"/>
    </row>
    <row r="42" spans="3:15" ht="15" hidden="1" x14ac:dyDescent="0.25">
      <c r="C42" s="3"/>
      <c r="M42" s="3"/>
      <c r="N42" s="4"/>
      <c r="O42" s="5"/>
    </row>
    <row r="43" spans="3:15" ht="15" hidden="1" x14ac:dyDescent="0.25">
      <c r="C43" s="3"/>
      <c r="M43" s="3"/>
      <c r="N43" s="4"/>
      <c r="O43" s="5"/>
    </row>
    <row r="44" spans="3:15" ht="15" hidden="1" x14ac:dyDescent="0.25">
      <c r="C44" s="3"/>
      <c r="M44" s="3"/>
      <c r="N44" s="4"/>
      <c r="O44" s="5"/>
    </row>
    <row r="45" spans="3:15" ht="15" hidden="1" x14ac:dyDescent="0.25">
      <c r="C45" s="3"/>
      <c r="M45" s="3"/>
      <c r="N45" s="4"/>
      <c r="O45" s="5"/>
    </row>
    <row r="46" spans="3:15" ht="15" hidden="1" x14ac:dyDescent="0.25">
      <c r="C46" s="3"/>
      <c r="M46" s="3"/>
      <c r="N46" s="4"/>
      <c r="O46" s="5"/>
    </row>
    <row r="47" spans="3:15" ht="15" hidden="1" x14ac:dyDescent="0.25">
      <c r="C47" s="3"/>
      <c r="M47" s="3"/>
      <c r="N47" s="4"/>
      <c r="O47" s="5"/>
    </row>
    <row r="48" spans="3:15" ht="15" hidden="1" x14ac:dyDescent="0.25">
      <c r="C48" s="3"/>
      <c r="M48" s="3"/>
      <c r="N48" s="4"/>
      <c r="O48" s="5"/>
    </row>
    <row r="49" spans="3:15" ht="15" hidden="1" x14ac:dyDescent="0.25">
      <c r="C49" s="3"/>
      <c r="M49" s="3"/>
      <c r="N49" s="4"/>
      <c r="O49" s="5"/>
    </row>
    <row r="50" spans="3:15" ht="15" hidden="1" x14ac:dyDescent="0.25">
      <c r="C50" s="3"/>
      <c r="M50" s="3"/>
      <c r="N50" s="4"/>
      <c r="O50" s="5"/>
    </row>
    <row r="51" spans="3:15" ht="15" hidden="1" x14ac:dyDescent="0.25">
      <c r="C51" s="3"/>
      <c r="M51" s="3"/>
      <c r="N51" s="4"/>
      <c r="O51" s="5"/>
    </row>
    <row r="52" spans="3:15" ht="15" hidden="1" x14ac:dyDescent="0.25">
      <c r="C52" s="3"/>
      <c r="M52" s="3"/>
      <c r="N52" s="4"/>
      <c r="O52" s="5"/>
    </row>
    <row r="53" spans="3:15" ht="15" hidden="1" x14ac:dyDescent="0.25">
      <c r="C53" s="3"/>
      <c r="M53" s="3"/>
      <c r="N53" s="4"/>
      <c r="O53" s="5"/>
    </row>
    <row r="54" spans="3:15" ht="15" hidden="1" x14ac:dyDescent="0.25">
      <c r="C54" s="3"/>
      <c r="M54" s="3"/>
      <c r="N54" s="4"/>
      <c r="O54" s="5"/>
    </row>
    <row r="55" spans="3:15" ht="15" hidden="1" x14ac:dyDescent="0.25">
      <c r="C55" s="3"/>
      <c r="M55" s="3"/>
      <c r="N55" s="4"/>
      <c r="O55" s="5"/>
    </row>
    <row r="56" spans="3:15" ht="15" hidden="1" x14ac:dyDescent="0.25">
      <c r="C56" s="3"/>
      <c r="M56" s="3"/>
      <c r="N56" s="4"/>
      <c r="O56" s="5"/>
    </row>
    <row r="57" spans="3:15" ht="15" hidden="1" x14ac:dyDescent="0.25">
      <c r="C57" s="3"/>
      <c r="M57" s="3"/>
      <c r="N57" s="4"/>
      <c r="O57" s="5"/>
    </row>
    <row r="58" spans="3:15" ht="15" hidden="1" x14ac:dyDescent="0.25">
      <c r="C58" s="3"/>
      <c r="M58" s="3"/>
      <c r="N58" s="4"/>
      <c r="O58" s="5"/>
    </row>
    <row r="59" spans="3:15" ht="15" hidden="1" x14ac:dyDescent="0.25">
      <c r="C59" s="3"/>
      <c r="M59" s="3"/>
      <c r="N59" s="4"/>
      <c r="O59" s="5"/>
    </row>
    <row r="60" spans="3:15" ht="15" hidden="1" x14ac:dyDescent="0.25">
      <c r="C60" s="3"/>
      <c r="M60" s="3"/>
      <c r="N60" s="4"/>
      <c r="O60" s="5"/>
    </row>
    <row r="61" spans="3:15" ht="15" hidden="1" x14ac:dyDescent="0.25">
      <c r="C61" s="3"/>
      <c r="M61" s="3"/>
      <c r="N61" s="4"/>
      <c r="O61" s="5"/>
    </row>
    <row r="62" spans="3:15" ht="15" hidden="1" x14ac:dyDescent="0.25">
      <c r="C62" s="3"/>
      <c r="M62" s="3"/>
      <c r="N62" s="4"/>
      <c r="O62" s="5"/>
    </row>
    <row r="63" spans="3:15" ht="15" hidden="1" x14ac:dyDescent="0.25">
      <c r="C63" s="3"/>
      <c r="M63" s="3"/>
      <c r="N63" s="4"/>
      <c r="O63" s="5"/>
    </row>
    <row r="64" spans="3:15" ht="15" hidden="1" x14ac:dyDescent="0.25">
      <c r="C64" s="3"/>
      <c r="M64" s="3"/>
      <c r="N64" s="4"/>
      <c r="O64" s="5"/>
    </row>
    <row r="65" spans="3:15" ht="15" hidden="1" x14ac:dyDescent="0.25">
      <c r="C65" s="3"/>
      <c r="M65" s="3"/>
      <c r="N65" s="4"/>
      <c r="O65" s="5"/>
    </row>
    <row r="66" spans="3:15" ht="15" hidden="1" x14ac:dyDescent="0.25">
      <c r="C66" s="3"/>
      <c r="M66" s="3"/>
      <c r="N66" s="4"/>
      <c r="O66" s="5"/>
    </row>
    <row r="67" spans="3:15" ht="15" hidden="1" x14ac:dyDescent="0.25">
      <c r="C67" s="3"/>
      <c r="M67" s="3"/>
      <c r="N67" s="4"/>
      <c r="O67" s="5"/>
    </row>
    <row r="68" spans="3:15" ht="15" hidden="1" x14ac:dyDescent="0.25">
      <c r="C68" s="3"/>
      <c r="M68" s="3"/>
      <c r="N68" s="4"/>
      <c r="O68" s="5"/>
    </row>
    <row r="69" spans="3:15" ht="15" hidden="1" x14ac:dyDescent="0.25">
      <c r="C69" s="3"/>
      <c r="M69" s="3"/>
      <c r="N69" s="4"/>
      <c r="O69" s="5"/>
    </row>
    <row r="70" spans="3:15" ht="15" hidden="1" x14ac:dyDescent="0.25">
      <c r="C70" s="3"/>
      <c r="M70" s="3"/>
      <c r="N70" s="4"/>
      <c r="O70" s="5"/>
    </row>
    <row r="71" spans="3:15" ht="15" hidden="1" x14ac:dyDescent="0.25">
      <c r="C71" s="3"/>
      <c r="M71" s="3"/>
      <c r="N71" s="4"/>
      <c r="O71" s="5"/>
    </row>
    <row r="72" spans="3:15" ht="15" hidden="1" x14ac:dyDescent="0.25">
      <c r="C72" s="3"/>
      <c r="M72" s="3"/>
      <c r="N72" s="4"/>
      <c r="O72" s="5"/>
    </row>
    <row r="73" spans="3:15" ht="15" hidden="1" x14ac:dyDescent="0.25">
      <c r="C73" s="3"/>
      <c r="M73" s="3"/>
      <c r="N73" s="4"/>
      <c r="O73" s="5"/>
    </row>
    <row r="74" spans="3:15" ht="15" hidden="1" x14ac:dyDescent="0.25">
      <c r="C74" s="3"/>
      <c r="M74" s="3"/>
      <c r="N74" s="4"/>
      <c r="O74" s="5"/>
    </row>
    <row r="75" spans="3:15" ht="15" hidden="1" x14ac:dyDescent="0.25">
      <c r="C75" s="3"/>
      <c r="M75" s="3"/>
      <c r="N75" s="4"/>
      <c r="O75" s="5"/>
    </row>
    <row r="76" spans="3:15" ht="15" hidden="1" x14ac:dyDescent="0.25">
      <c r="C76" s="3"/>
      <c r="M76" s="3"/>
      <c r="N76" s="4"/>
      <c r="O76" s="5"/>
    </row>
    <row r="77" spans="3:15" ht="15" hidden="1" x14ac:dyDescent="0.25">
      <c r="C77" s="3"/>
      <c r="M77" s="3"/>
      <c r="N77" s="4"/>
      <c r="O77" s="5"/>
    </row>
    <row r="78" spans="3:15" ht="15" hidden="1" x14ac:dyDescent="0.25">
      <c r="C78" s="3"/>
      <c r="M78" s="3"/>
      <c r="N78" s="4"/>
      <c r="O78" s="5"/>
    </row>
    <row r="79" spans="3:15" ht="15" hidden="1" x14ac:dyDescent="0.25">
      <c r="C79" s="3"/>
      <c r="M79" s="3"/>
      <c r="N79" s="4"/>
      <c r="O79" s="5"/>
    </row>
    <row r="80" spans="3:15" ht="15" hidden="1" x14ac:dyDescent="0.25">
      <c r="C80" s="3"/>
      <c r="M80" s="3"/>
      <c r="N80" s="4"/>
      <c r="O80" s="5"/>
    </row>
    <row r="81" spans="3:15" ht="15" hidden="1" x14ac:dyDescent="0.25">
      <c r="C81" s="3"/>
      <c r="M81" s="3"/>
      <c r="N81" s="4"/>
      <c r="O81" s="5"/>
    </row>
    <row r="82" spans="3:15" ht="15" hidden="1" x14ac:dyDescent="0.25">
      <c r="C82" s="3"/>
      <c r="M82" s="3"/>
      <c r="N82" s="4"/>
      <c r="O82" s="5"/>
    </row>
    <row r="83" spans="3:15" ht="15" hidden="1" x14ac:dyDescent="0.25">
      <c r="C83" s="3"/>
      <c r="M83" s="3"/>
      <c r="N83" s="4"/>
      <c r="O83" s="5"/>
    </row>
    <row r="84" spans="3:15" ht="15" hidden="1" x14ac:dyDescent="0.25">
      <c r="C84" s="3"/>
      <c r="M84" s="3"/>
      <c r="N84" s="4"/>
      <c r="O84" s="5"/>
    </row>
    <row r="85" spans="3:15" ht="15" hidden="1" x14ac:dyDescent="0.25">
      <c r="C85" s="3"/>
      <c r="M85" s="3"/>
      <c r="N85" s="4"/>
      <c r="O85" s="5"/>
    </row>
    <row r="86" spans="3:15" ht="15" hidden="1" x14ac:dyDescent="0.25">
      <c r="C86" s="3"/>
      <c r="M86" s="3"/>
      <c r="N86" s="4"/>
      <c r="O86" s="5"/>
    </row>
    <row r="87" spans="3:15" ht="15" hidden="1" x14ac:dyDescent="0.25">
      <c r="C87" s="3"/>
      <c r="M87" s="3"/>
      <c r="N87" s="4"/>
      <c r="O87" s="5"/>
    </row>
    <row r="88" spans="3:15" ht="15" hidden="1" x14ac:dyDescent="0.25">
      <c r="C88" s="3"/>
      <c r="M88" s="3"/>
      <c r="N88" s="4"/>
      <c r="O88" s="5"/>
    </row>
    <row r="89" spans="3:15" ht="15" hidden="1" x14ac:dyDescent="0.25">
      <c r="C89" s="3"/>
      <c r="M89" s="3"/>
      <c r="N89" s="4"/>
      <c r="O89" s="5"/>
    </row>
    <row r="90" spans="3:15" ht="15" hidden="1" x14ac:dyDescent="0.25">
      <c r="C90" s="3"/>
      <c r="M90" s="3"/>
      <c r="N90" s="4"/>
      <c r="O90" s="5"/>
    </row>
    <row r="91" spans="3:15" ht="15" hidden="1" x14ac:dyDescent="0.25">
      <c r="C91" s="3"/>
      <c r="M91" s="3"/>
      <c r="N91" s="4"/>
      <c r="O91" s="5"/>
    </row>
    <row r="92" spans="3:15" ht="15" hidden="1" x14ac:dyDescent="0.25">
      <c r="C92" s="3"/>
      <c r="M92" s="3"/>
      <c r="N92" s="4"/>
      <c r="O92" s="5"/>
    </row>
    <row r="93" spans="3:15" ht="15" hidden="1" x14ac:dyDescent="0.25">
      <c r="C93" s="3"/>
      <c r="M93" s="3"/>
      <c r="N93" s="4"/>
      <c r="O93" s="5"/>
    </row>
    <row r="94" spans="3:15" ht="15" hidden="1" x14ac:dyDescent="0.25">
      <c r="C94" s="3"/>
      <c r="M94" s="3"/>
      <c r="N94" s="4"/>
      <c r="O94" s="5"/>
    </row>
    <row r="95" spans="3:15" ht="15" hidden="1" x14ac:dyDescent="0.25">
      <c r="C95" s="3"/>
      <c r="M95" s="3"/>
      <c r="N95" s="4"/>
      <c r="O95" s="5"/>
    </row>
    <row r="96" spans="3:15" ht="15" hidden="1" x14ac:dyDescent="0.25">
      <c r="C96" s="3"/>
      <c r="M96" s="3"/>
      <c r="N96" s="4"/>
      <c r="O96" s="5"/>
    </row>
    <row r="97" spans="3:15" ht="15" hidden="1" x14ac:dyDescent="0.25">
      <c r="C97" s="3"/>
      <c r="M97" s="3"/>
      <c r="N97" s="4"/>
      <c r="O97" s="5"/>
    </row>
    <row r="98" spans="3:15" ht="15" hidden="1" x14ac:dyDescent="0.25">
      <c r="C98" s="3"/>
      <c r="M98" s="3"/>
      <c r="N98" s="4"/>
      <c r="O98" s="5"/>
    </row>
    <row r="99" spans="3:15" ht="15" hidden="1" x14ac:dyDescent="0.25">
      <c r="C99" s="3"/>
      <c r="M99" s="3"/>
      <c r="N99" s="4"/>
      <c r="O99" s="5"/>
    </row>
    <row r="100" spans="3:15" ht="15" hidden="1" x14ac:dyDescent="0.25">
      <c r="C100" s="3"/>
      <c r="M100" s="3"/>
      <c r="N100" s="4"/>
      <c r="O100" s="5"/>
    </row>
    <row r="101" spans="3:15" ht="15" hidden="1" x14ac:dyDescent="0.25">
      <c r="C101" s="3"/>
      <c r="M101" s="3"/>
      <c r="N101" s="4"/>
      <c r="O101" s="5"/>
    </row>
  </sheetData>
  <mergeCells count="18"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8:D8"/>
    <mergeCell ref="B2:C2"/>
    <mergeCell ref="C4:D4"/>
    <mergeCell ref="C5:D5"/>
    <mergeCell ref="C6:D6"/>
    <mergeCell ref="C7:D7"/>
  </mergeCells>
  <dataValidations count="1">
    <dataValidation type="list" allowBlank="1" showInputMessage="1" showErrorMessage="1" sqref="D2">
      <formula1>nyelv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O203"/>
  <sheetViews>
    <sheetView workbookViewId="0"/>
  </sheetViews>
  <sheetFormatPr defaultColWidth="0" defaultRowHeight="14.1" customHeight="1" zeroHeight="1" x14ac:dyDescent="0.25"/>
  <cols>
    <col min="1" max="1" width="2.375" style="3" customWidth="1"/>
    <col min="2" max="2" width="10.875" style="3" customWidth="1"/>
    <col min="3" max="3" width="14.125" style="3" customWidth="1"/>
    <col min="4" max="4" width="33.5" style="3" customWidth="1"/>
    <col min="5" max="5" width="13.375" style="3" customWidth="1"/>
    <col min="6" max="6" width="3.875" style="3" customWidth="1"/>
    <col min="7" max="7" width="13.375" style="3" customWidth="1"/>
    <col min="8" max="8" width="12.875" style="3" bestFit="1" customWidth="1"/>
    <col min="9" max="9" width="10.875" style="3" customWidth="1"/>
    <col min="10" max="11" width="10.875" style="50" customWidth="1"/>
    <col min="12" max="12" width="10.875" style="3" customWidth="1"/>
    <col min="13" max="13" width="35.875" style="3" hidden="1" customWidth="1"/>
    <col min="14" max="14" width="35.875" style="4" hidden="1" customWidth="1"/>
    <col min="15" max="15" width="35.875" style="5" hidden="1" customWidth="1"/>
    <col min="16" max="16384" width="10.875" style="3" hidden="1"/>
  </cols>
  <sheetData>
    <row r="1" spans="1:15" ht="15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3" t="s">
        <v>0</v>
      </c>
      <c r="N1" s="4" t="s">
        <v>1</v>
      </c>
      <c r="O1" s="5" t="s">
        <v>2</v>
      </c>
    </row>
    <row r="2" spans="1:15" ht="45" x14ac:dyDescent="0.25">
      <c r="A2" s="1"/>
      <c r="B2" s="6" t="str">
        <f>IF(T!$D$2=T!$M$2,M3,IF(T!$D$2=T!$N$2,N3,O3))</f>
        <v>albumin concentration (μmol/L)</v>
      </c>
      <c r="C2" s="1"/>
      <c r="D2" s="75" t="str">
        <f>IF(T!$D$2=T!$M$2,M1,IF(T!$D$2=T!$N$2,N1,O1))</f>
        <v>We measured the blood albumin concentration of 200 healthy people. The Values can be found in column "B".</v>
      </c>
      <c r="E2" s="76"/>
      <c r="F2" s="76"/>
      <c r="G2" s="76"/>
      <c r="H2" s="77"/>
      <c r="I2" s="1"/>
      <c r="J2" s="7"/>
      <c r="K2" s="7"/>
      <c r="L2" s="1"/>
      <c r="M2" s="3" t="s">
        <v>3</v>
      </c>
      <c r="N2" s="4" t="s">
        <v>4</v>
      </c>
      <c r="O2" s="5" t="s">
        <v>5</v>
      </c>
    </row>
    <row r="3" spans="1:15" ht="15" x14ac:dyDescent="0.25">
      <c r="A3" s="1"/>
      <c r="B3" s="8">
        <v>643</v>
      </c>
      <c r="C3" s="1"/>
      <c r="D3" s="78" t="str">
        <f>IF(T!$D$2=T!$M$2,M2,IF(T!$D$2=T!$N$2,N2,O2))</f>
        <v>Please carry out the descriptive statistical evaluation of the data.</v>
      </c>
      <c r="E3" s="79"/>
      <c r="F3" s="79"/>
      <c r="G3" s="79"/>
      <c r="H3" s="80"/>
      <c r="I3" s="1"/>
      <c r="J3" s="7"/>
      <c r="K3" s="7"/>
      <c r="L3" s="1"/>
      <c r="M3" s="3" t="s">
        <v>6</v>
      </c>
      <c r="N3" s="4" t="s">
        <v>7</v>
      </c>
      <c r="O3" s="5" t="s">
        <v>8</v>
      </c>
    </row>
    <row r="4" spans="1:15" ht="31.5" x14ac:dyDescent="0.35">
      <c r="A4" s="1"/>
      <c r="B4" s="9">
        <v>685</v>
      </c>
      <c r="C4" s="1"/>
      <c r="D4" s="81" t="str">
        <f>IF(T!$D$2=T!$M$2,M4,IF(T!$D$2=T!$N$2,N4,O4))</f>
        <v>Give the asked values in the green cells.</v>
      </c>
      <c r="E4" s="82"/>
      <c r="F4" s="82"/>
      <c r="G4" s="82"/>
      <c r="H4" s="83"/>
      <c r="I4" s="1"/>
      <c r="J4" s="7"/>
      <c r="K4" s="7"/>
      <c r="L4" s="1"/>
      <c r="M4" s="10" t="s">
        <v>9</v>
      </c>
      <c r="N4" s="11" t="s">
        <v>10</v>
      </c>
      <c r="O4" s="12" t="s">
        <v>11</v>
      </c>
    </row>
    <row r="5" spans="1:15" ht="15" x14ac:dyDescent="0.25">
      <c r="A5" s="1"/>
      <c r="B5" s="9">
        <v>623</v>
      </c>
      <c r="C5" s="1"/>
      <c r="D5" s="1"/>
      <c r="E5" s="1"/>
      <c r="F5" s="1"/>
      <c r="G5" s="1"/>
      <c r="H5" s="1"/>
      <c r="I5" s="1"/>
      <c r="J5" s="7"/>
      <c r="K5" s="7"/>
      <c r="L5" s="1"/>
      <c r="M5" s="3" t="s">
        <v>12</v>
      </c>
      <c r="N5" s="4" t="s">
        <v>13</v>
      </c>
      <c r="O5" s="5" t="s">
        <v>14</v>
      </c>
    </row>
    <row r="6" spans="1:15" ht="15" x14ac:dyDescent="0.25">
      <c r="A6" s="1"/>
      <c r="B6" s="9">
        <v>578</v>
      </c>
      <c r="C6" s="1"/>
      <c r="D6" s="13"/>
      <c r="E6" s="14"/>
      <c r="F6" s="15"/>
      <c r="G6" s="15"/>
      <c r="H6" s="16"/>
      <c r="I6" s="16"/>
      <c r="J6" s="7"/>
      <c r="K6" s="7"/>
      <c r="L6" s="1"/>
      <c r="M6" s="3" t="s">
        <v>15</v>
      </c>
      <c r="N6" s="4" t="s">
        <v>16</v>
      </c>
      <c r="O6" s="5" t="s">
        <v>17</v>
      </c>
    </row>
    <row r="7" spans="1:15" ht="15" x14ac:dyDescent="0.25">
      <c r="A7" s="1"/>
      <c r="B7" s="9">
        <v>622</v>
      </c>
      <c r="C7" s="1"/>
      <c r="D7" s="1"/>
      <c r="E7" s="1"/>
      <c r="F7" s="16"/>
      <c r="G7" s="16"/>
      <c r="H7" s="16"/>
      <c r="I7" s="16"/>
      <c r="J7" s="7"/>
      <c r="K7" s="7"/>
      <c r="L7" s="1"/>
      <c r="M7" s="3" t="s">
        <v>18</v>
      </c>
      <c r="N7" s="4" t="s">
        <v>19</v>
      </c>
      <c r="O7" s="5" t="s">
        <v>20</v>
      </c>
    </row>
    <row r="8" spans="1:15" ht="15" x14ac:dyDescent="0.25">
      <c r="A8" s="1"/>
      <c r="B8" s="9">
        <v>618</v>
      </c>
      <c r="C8" s="1"/>
      <c r="D8" s="17" t="str">
        <f>IF(T!$D$2=T!$M$2,M6,IF(T!$D$2=T!$N$2,N6,O6))</f>
        <v>data count</v>
      </c>
      <c r="E8" s="18"/>
      <c r="F8" s="19" t="str">
        <f>IF(E8="","×",IF(E8='1m'!E8,"✓","×"))</f>
        <v>×</v>
      </c>
      <c r="G8" s="16"/>
      <c r="H8" s="16"/>
      <c r="I8" s="16"/>
      <c r="J8" s="7"/>
      <c r="K8" s="7"/>
      <c r="L8" s="1"/>
      <c r="M8" s="3" t="s">
        <v>21</v>
      </c>
      <c r="N8" s="4" t="s">
        <v>22</v>
      </c>
      <c r="O8" s="5" t="s">
        <v>23</v>
      </c>
    </row>
    <row r="9" spans="1:15" ht="15" x14ac:dyDescent="0.25">
      <c r="A9" s="1"/>
      <c r="B9" s="9">
        <v>616</v>
      </c>
      <c r="C9" s="1"/>
      <c r="D9" s="20"/>
      <c r="E9" s="1"/>
      <c r="F9" s="21"/>
      <c r="G9" s="16"/>
      <c r="H9" s="16"/>
      <c r="I9" s="16"/>
      <c r="J9" s="7"/>
      <c r="K9" s="7"/>
      <c r="L9" s="1"/>
      <c r="M9" s="3" t="s">
        <v>24</v>
      </c>
      <c r="N9" s="4" t="s">
        <v>25</v>
      </c>
      <c r="O9" s="5" t="s">
        <v>26</v>
      </c>
    </row>
    <row r="10" spans="1:15" ht="15" x14ac:dyDescent="0.25">
      <c r="A10" s="1"/>
      <c r="B10" s="9">
        <v>683</v>
      </c>
      <c r="C10" s="1"/>
      <c r="D10" s="22" t="str">
        <f>IF(T!$D$2=T!$M$2,M7,IF(T!$D$2=T!$N$2,N7,O7))</f>
        <v>1. measures of location</v>
      </c>
      <c r="E10" s="23"/>
      <c r="F10" s="24"/>
      <c r="G10" s="24"/>
      <c r="H10" s="16"/>
      <c r="I10" s="16"/>
      <c r="J10" s="7"/>
      <c r="K10" s="7"/>
      <c r="L10" s="1"/>
      <c r="M10" s="3" t="s">
        <v>27</v>
      </c>
      <c r="N10" s="4" t="s">
        <v>28</v>
      </c>
      <c r="O10" s="5" t="s">
        <v>29</v>
      </c>
    </row>
    <row r="11" spans="1:15" ht="15" x14ac:dyDescent="0.25">
      <c r="A11" s="1"/>
      <c r="B11" s="9">
        <v>596</v>
      </c>
      <c r="C11" s="1"/>
      <c r="D11" s="1"/>
      <c r="E11" s="1"/>
      <c r="F11" s="16"/>
      <c r="G11" s="16"/>
      <c r="H11" s="16"/>
      <c r="I11" s="16"/>
      <c r="J11" s="7"/>
      <c r="K11" s="7"/>
      <c r="L11" s="1"/>
      <c r="M11" s="3" t="s">
        <v>30</v>
      </c>
      <c r="N11" s="4" t="s">
        <v>31</v>
      </c>
      <c r="O11" s="5" t="s">
        <v>32</v>
      </c>
    </row>
    <row r="12" spans="1:15" ht="15" x14ac:dyDescent="0.25">
      <c r="A12" s="1"/>
      <c r="B12" s="9">
        <v>618</v>
      </c>
      <c r="C12" s="1"/>
      <c r="D12" s="25" t="str">
        <f>IF(T!$D$2=T!$M$2,M8,IF(T!$D$2=T!$N$2,N8,O8))</f>
        <v xml:space="preserve">  1.1. central tendencies</v>
      </c>
      <c r="E12" s="26"/>
      <c r="F12" s="21"/>
      <c r="G12" s="16"/>
      <c r="H12" s="16"/>
      <c r="I12" s="16"/>
      <c r="J12" s="7"/>
      <c r="K12" s="7"/>
      <c r="L12" s="1"/>
      <c r="M12" s="3" t="s">
        <v>33</v>
      </c>
      <c r="N12" s="4" t="s">
        <v>34</v>
      </c>
      <c r="O12" s="5" t="s">
        <v>35</v>
      </c>
    </row>
    <row r="13" spans="1:15" ht="15" x14ac:dyDescent="0.25">
      <c r="A13" s="1"/>
      <c r="B13" s="9">
        <v>685</v>
      </c>
      <c r="C13" s="1"/>
      <c r="D13" s="27" t="str">
        <f>IF(T!$D$2=T!$M$2,M10,IF(T!$D$2=T!$N$2,N10,O10))</f>
        <v xml:space="preserve">    1.1.1. mode(s)</v>
      </c>
      <c r="E13" s="18"/>
      <c r="F13" s="19" t="str">
        <f>IF(E13="","×",IF(E13='1m'!E13,"✓","×"))</f>
        <v>×</v>
      </c>
      <c r="G13" s="16"/>
      <c r="H13" s="16"/>
      <c r="I13" s="16"/>
      <c r="J13" s="7"/>
      <c r="K13" s="7"/>
      <c r="L13" s="1"/>
      <c r="M13" s="3" t="s">
        <v>36</v>
      </c>
      <c r="N13" s="4" t="s">
        <v>37</v>
      </c>
      <c r="O13" s="5" t="s">
        <v>38</v>
      </c>
    </row>
    <row r="14" spans="1:15" ht="30" x14ac:dyDescent="0.25">
      <c r="A14" s="1"/>
      <c r="B14" s="9">
        <v>691</v>
      </c>
      <c r="C14" s="1"/>
      <c r="D14" s="28" t="str">
        <f>IF(T!$D$2=T!$M$2,M14,IF(T!$D$2=T!$N$2,N14,O14))</f>
        <v>How many times does the mode (or any of the modes) turn up?</v>
      </c>
      <c r="E14" s="18"/>
      <c r="F14" s="19" t="str">
        <f>IF(E14="","×",IF(E14='1m'!E14,"✓","×"))</f>
        <v>×</v>
      </c>
      <c r="G14" s="16"/>
      <c r="H14" s="16"/>
      <c r="I14" s="16"/>
      <c r="J14" s="7"/>
      <c r="K14" s="7"/>
      <c r="L14" s="1"/>
      <c r="M14" s="3" t="s">
        <v>39</v>
      </c>
      <c r="N14" s="4" t="s">
        <v>40</v>
      </c>
      <c r="O14" s="5" t="s">
        <v>41</v>
      </c>
    </row>
    <row r="15" spans="1:15" ht="15" x14ac:dyDescent="0.25">
      <c r="A15" s="1"/>
      <c r="B15" s="9">
        <v>629</v>
      </c>
      <c r="C15" s="1"/>
      <c r="D15" s="29" t="str">
        <f>IF(T!$D$2=T!$M$2,M15,IF(T!$D$2=T!$N$2,N15,O15))</f>
        <v xml:space="preserve">    1.1.2. median</v>
      </c>
      <c r="E15" s="18"/>
      <c r="F15" s="19" t="str">
        <f>IF(E15="","×",IF(E15='1m'!E15,"✓","×"))</f>
        <v>×</v>
      </c>
      <c r="G15" s="16"/>
      <c r="H15" s="16"/>
      <c r="I15" s="16"/>
      <c r="J15" s="7"/>
      <c r="K15" s="7"/>
      <c r="L15" s="1"/>
      <c r="M15" s="3" t="s">
        <v>42</v>
      </c>
      <c r="N15" s="4" t="s">
        <v>43</v>
      </c>
      <c r="O15" s="5" t="s">
        <v>44</v>
      </c>
    </row>
    <row r="16" spans="1:15" ht="30" x14ac:dyDescent="0.25">
      <c r="A16" s="1"/>
      <c r="B16" s="9">
        <v>654</v>
      </c>
      <c r="C16" s="1"/>
      <c r="D16" s="17" t="str">
        <f>IF(T!$D$2=T!$M$2,M9,IF(T!$D$2=T!$N$2,N9,O9))</f>
        <v xml:space="preserve">    1.1.3. mean (also: arithmetic mean, average)</v>
      </c>
      <c r="E16" s="18"/>
      <c r="F16" s="19" t="str">
        <f>IF(E16="","×",IF(E16='1m'!E16,"✓","×"))</f>
        <v>×</v>
      </c>
      <c r="G16" s="16"/>
      <c r="H16" s="16"/>
      <c r="I16" s="16"/>
      <c r="J16" s="7"/>
      <c r="K16" s="7"/>
      <c r="L16" s="1"/>
      <c r="M16" s="3" t="s">
        <v>45</v>
      </c>
      <c r="N16" s="4" t="s">
        <v>46</v>
      </c>
      <c r="O16" s="5" t="s">
        <v>47</v>
      </c>
    </row>
    <row r="17" spans="1:15" ht="15" x14ac:dyDescent="0.25">
      <c r="A17" s="1"/>
      <c r="B17" s="9">
        <v>693</v>
      </c>
      <c r="C17" s="1"/>
      <c r="D17" s="30"/>
      <c r="E17" s="30"/>
      <c r="F17" s="21"/>
      <c r="G17" s="16"/>
      <c r="H17" s="16"/>
      <c r="I17" s="16"/>
      <c r="J17" s="7"/>
      <c r="K17" s="7"/>
      <c r="L17" s="1"/>
      <c r="M17" s="3" t="s">
        <v>48</v>
      </c>
      <c r="N17" s="4" t="s">
        <v>49</v>
      </c>
      <c r="O17" s="5" t="s">
        <v>50</v>
      </c>
    </row>
    <row r="18" spans="1:15" ht="15" x14ac:dyDescent="0.25">
      <c r="A18" s="1"/>
      <c r="B18" s="9">
        <v>679</v>
      </c>
      <c r="C18" s="1"/>
      <c r="D18" s="25" t="str">
        <f>IF(T!$D$2=T!$M$2,M19,IF(T!$D$2=T!$N$2,N19,O19))</f>
        <v xml:space="preserve">  1.2. quantiles</v>
      </c>
      <c r="E18" s="26"/>
      <c r="F18" s="21"/>
      <c r="G18" s="21"/>
      <c r="H18" s="16"/>
      <c r="I18" s="16"/>
      <c r="J18" s="7"/>
      <c r="K18" s="7"/>
      <c r="L18" s="1"/>
      <c r="M18" s="3" t="s">
        <v>51</v>
      </c>
      <c r="N18" s="4" t="s">
        <v>52</v>
      </c>
      <c r="O18" s="5" t="s">
        <v>53</v>
      </c>
    </row>
    <row r="19" spans="1:15" ht="15" x14ac:dyDescent="0.25">
      <c r="A19" s="1"/>
      <c r="B19" s="9">
        <v>605</v>
      </c>
      <c r="C19" s="31" t="s">
        <v>54</v>
      </c>
      <c r="D19" s="27" t="str">
        <f>IF(T!$D$2=T!$M$2,M20,IF(T!$D$2=T!$N$2,N20,O20))</f>
        <v xml:space="preserve">    1.2.1. median</v>
      </c>
      <c r="E19" s="32"/>
      <c r="F19" s="21"/>
      <c r="G19" s="21"/>
      <c r="H19" s="16"/>
      <c r="I19" s="16"/>
      <c r="J19" s="7"/>
      <c r="K19" s="7"/>
      <c r="L19" s="1"/>
      <c r="M19" s="3" t="s">
        <v>55</v>
      </c>
      <c r="N19" s="4" t="s">
        <v>56</v>
      </c>
      <c r="O19" s="5" t="s">
        <v>57</v>
      </c>
    </row>
    <row r="20" spans="1:15" ht="15" x14ac:dyDescent="0.25">
      <c r="A20" s="1"/>
      <c r="B20" s="9">
        <v>618</v>
      </c>
      <c r="C20" s="31"/>
      <c r="D20" s="33" t="str">
        <f>IF(T!$D$2=T!$M$2,M21,IF(T!$D$2=T!$N$2,N21,O21))</f>
        <v>MEDIAN</v>
      </c>
      <c r="E20" s="34"/>
      <c r="F20" s="19" t="str">
        <f>IF(E20="","×",IF(E20='1m'!E20,"✓","×"))</f>
        <v>×</v>
      </c>
      <c r="G20" s="24"/>
      <c r="H20" s="16"/>
      <c r="I20" s="16"/>
      <c r="J20" s="7"/>
      <c r="K20" s="7"/>
      <c r="L20" s="1"/>
      <c r="M20" s="3" t="s">
        <v>58</v>
      </c>
      <c r="N20" s="4" t="s">
        <v>59</v>
      </c>
      <c r="O20" s="5" t="s">
        <v>60</v>
      </c>
    </row>
    <row r="21" spans="1:15" ht="15" x14ac:dyDescent="0.25">
      <c r="A21" s="1"/>
      <c r="B21" s="9">
        <v>646</v>
      </c>
      <c r="C21" s="31"/>
      <c r="D21" s="33" t="str">
        <f>IF(T!$D$2=T!$M$2,M22,IF(T!$D$2=T!$N$2,N22,O22))</f>
        <v>QUARTILE</v>
      </c>
      <c r="E21" s="18"/>
      <c r="F21" s="19" t="str">
        <f>IF(E21="","×",IF(E21='1m'!E21,"✓","×"))</f>
        <v>×</v>
      </c>
      <c r="G21" s="21"/>
      <c r="H21" s="16"/>
      <c r="I21" s="16"/>
      <c r="J21" s="7"/>
      <c r="K21" s="7"/>
      <c r="L21" s="1"/>
      <c r="M21" s="3" t="s">
        <v>61</v>
      </c>
      <c r="N21" s="4" t="s">
        <v>62</v>
      </c>
      <c r="O21" s="5" t="s">
        <v>62</v>
      </c>
    </row>
    <row r="22" spans="1:15" ht="15" x14ac:dyDescent="0.25">
      <c r="A22" s="1"/>
      <c r="B22" s="9">
        <v>691</v>
      </c>
      <c r="C22" s="31"/>
      <c r="D22" s="35" t="str">
        <f>IF(T!$D$2=T!$M$2,M23,IF(T!$D$2=T!$N$2,N23,O23))</f>
        <v>PERCENTILE</v>
      </c>
      <c r="E22" s="18"/>
      <c r="F22" s="19" t="str">
        <f>IF(E22="","×",IF(E22='1m'!E22,"✓","×"))</f>
        <v>×</v>
      </c>
      <c r="G22" s="21"/>
      <c r="H22" s="16"/>
      <c r="I22" s="16"/>
      <c r="J22" s="7"/>
      <c r="K22" s="7"/>
      <c r="L22" s="1"/>
      <c r="M22" s="3" t="s">
        <v>63</v>
      </c>
      <c r="N22" s="4" t="s">
        <v>64</v>
      </c>
      <c r="O22" s="5" t="s">
        <v>64</v>
      </c>
    </row>
    <row r="23" spans="1:15" ht="15" x14ac:dyDescent="0.25">
      <c r="A23" s="1"/>
      <c r="B23" s="9">
        <v>665</v>
      </c>
      <c r="C23" s="31"/>
      <c r="D23" s="27" t="str">
        <f>IF(T!$D$2=T!$M$2,M24,IF(T!$D$2=T!$N$2,N24,O24))</f>
        <v xml:space="preserve">    1.2.2. quartiles</v>
      </c>
      <c r="E23" s="26"/>
      <c r="F23" s="21"/>
      <c r="G23" s="21"/>
      <c r="H23" s="16"/>
      <c r="I23" s="16"/>
      <c r="J23" s="7"/>
      <c r="K23" s="7"/>
      <c r="L23" s="1"/>
      <c r="M23" s="3" t="s">
        <v>65</v>
      </c>
      <c r="N23" s="4" t="s">
        <v>66</v>
      </c>
      <c r="O23" s="5" t="s">
        <v>67</v>
      </c>
    </row>
    <row r="24" spans="1:15" ht="15" x14ac:dyDescent="0.25">
      <c r="A24" s="1"/>
      <c r="B24" s="9">
        <v>680</v>
      </c>
      <c r="C24" s="31" t="s">
        <v>68</v>
      </c>
      <c r="D24" s="36" t="str">
        <f>IF(T!$D$2=T!$M$2,M25,IF(T!$D$2=T!$N$2,N25,O25))</f>
        <v>lower quartile</v>
      </c>
      <c r="E24" s="32"/>
      <c r="F24" s="21"/>
      <c r="G24" s="21"/>
      <c r="H24" s="16"/>
      <c r="I24" s="16"/>
      <c r="J24" s="7"/>
      <c r="K24" s="7"/>
      <c r="L24" s="1"/>
      <c r="M24" s="3" t="s">
        <v>69</v>
      </c>
      <c r="N24" s="4" t="s">
        <v>70</v>
      </c>
      <c r="O24" s="5" t="s">
        <v>71</v>
      </c>
    </row>
    <row r="25" spans="1:15" ht="15" x14ac:dyDescent="0.25">
      <c r="A25" s="1"/>
      <c r="B25" s="9">
        <v>664</v>
      </c>
      <c r="C25" s="31"/>
      <c r="D25" s="33" t="str">
        <f>IF(T!$D$2=T!$M$2,M26,IF(T!$D$2=T!$N$2,N26,O26))</f>
        <v>QUARTILE</v>
      </c>
      <c r="E25" s="18"/>
      <c r="F25" s="19" t="str">
        <f>IF(E25="","×",IF(E25='1m'!E25,"✓","×"))</f>
        <v>×</v>
      </c>
      <c r="G25" s="21"/>
      <c r="H25" s="16"/>
      <c r="I25" s="16"/>
      <c r="J25" s="7"/>
      <c r="K25" s="7"/>
      <c r="L25" s="1"/>
      <c r="M25" s="3" t="s">
        <v>72</v>
      </c>
      <c r="N25" s="4" t="s">
        <v>73</v>
      </c>
      <c r="O25" s="5" t="s">
        <v>74</v>
      </c>
    </row>
    <row r="26" spans="1:15" ht="15" x14ac:dyDescent="0.25">
      <c r="A26" s="1"/>
      <c r="B26" s="9">
        <v>659</v>
      </c>
      <c r="C26" s="31"/>
      <c r="D26" s="35" t="str">
        <f>IF(T!$D$2=T!$M$2,M27,IF(T!$D$2=T!$N$2,N27,O27))</f>
        <v>PERCENTILE</v>
      </c>
      <c r="E26" s="37"/>
      <c r="F26" s="19" t="str">
        <f>IF(E26="","×",IF(E26='1m'!E26,"✓","×"))</f>
        <v>×</v>
      </c>
      <c r="G26" s="21"/>
      <c r="H26" s="16"/>
      <c r="I26" s="16"/>
      <c r="J26" s="7"/>
      <c r="K26" s="7"/>
      <c r="L26" s="1"/>
      <c r="M26" s="3" t="s">
        <v>63</v>
      </c>
      <c r="N26" s="4" t="s">
        <v>64</v>
      </c>
      <c r="O26" s="5" t="s">
        <v>64</v>
      </c>
    </row>
    <row r="27" spans="1:15" ht="15" x14ac:dyDescent="0.25">
      <c r="A27" s="1"/>
      <c r="B27" s="9">
        <v>653</v>
      </c>
      <c r="C27" s="31" t="s">
        <v>75</v>
      </c>
      <c r="D27" s="33" t="str">
        <f>IF(T!$D$2=T!$M$2,M28,IF(T!$D$2=T!$N$2,N28,O28))</f>
        <v>upper quartile</v>
      </c>
      <c r="E27" s="32"/>
      <c r="F27" s="21"/>
      <c r="G27" s="21"/>
      <c r="H27" s="16"/>
      <c r="I27" s="16"/>
      <c r="J27" s="7"/>
      <c r="K27" s="7"/>
      <c r="L27" s="1"/>
      <c r="M27" s="3" t="s">
        <v>65</v>
      </c>
      <c r="N27" s="4" t="s">
        <v>66</v>
      </c>
      <c r="O27" s="5" t="s">
        <v>67</v>
      </c>
    </row>
    <row r="28" spans="1:15" ht="15" x14ac:dyDescent="0.25">
      <c r="A28" s="1"/>
      <c r="B28" s="9">
        <v>715</v>
      </c>
      <c r="C28" s="31"/>
      <c r="D28" s="33" t="str">
        <f>IF(T!$D$2=T!$M$2,M29,IF(T!$D$2=T!$N$2,N29,O29))</f>
        <v>QUARTILE</v>
      </c>
      <c r="E28" s="18"/>
      <c r="F28" s="19" t="str">
        <f>IF(E28="","×",IF(E28='1m'!E28,"✓","×"))</f>
        <v>×</v>
      </c>
      <c r="G28" s="21"/>
      <c r="H28" s="16"/>
      <c r="I28" s="16"/>
      <c r="J28" s="7"/>
      <c r="K28" s="7"/>
      <c r="L28" s="1"/>
      <c r="M28" s="3" t="s">
        <v>76</v>
      </c>
      <c r="N28" s="4" t="s">
        <v>77</v>
      </c>
      <c r="O28" s="5" t="s">
        <v>78</v>
      </c>
    </row>
    <row r="29" spans="1:15" ht="15" x14ac:dyDescent="0.25">
      <c r="A29" s="1"/>
      <c r="B29" s="9">
        <v>647</v>
      </c>
      <c r="C29" s="31"/>
      <c r="D29" s="35" t="str">
        <f>IF(T!$D$2=T!$M$2,M30,IF(T!$D$2=T!$N$2,N30,O30))</f>
        <v>PERCENTILE</v>
      </c>
      <c r="E29" s="37"/>
      <c r="F29" s="19" t="str">
        <f>IF(E29="","×",IF(E29='1m'!E29,"✓","×"))</f>
        <v>×</v>
      </c>
      <c r="G29" s="21"/>
      <c r="H29" s="16"/>
      <c r="I29" s="16"/>
      <c r="J29" s="7"/>
      <c r="K29" s="7"/>
      <c r="L29" s="1"/>
      <c r="M29" s="3" t="s">
        <v>63</v>
      </c>
      <c r="N29" s="4" t="s">
        <v>64</v>
      </c>
      <c r="O29" s="5" t="s">
        <v>64</v>
      </c>
    </row>
    <row r="30" spans="1:15" ht="15" x14ac:dyDescent="0.25">
      <c r="A30" s="1"/>
      <c r="B30" s="9">
        <v>586</v>
      </c>
      <c r="C30" s="31"/>
      <c r="D30" s="38" t="str">
        <f>IF(T!$D$2=T!$M$2,M31,IF(T!$D$2=T!$N$2,N31,O31))</f>
        <v xml:space="preserve">    1.2.3. quintiles</v>
      </c>
      <c r="E30" s="32"/>
      <c r="F30" s="21"/>
      <c r="G30" s="21"/>
      <c r="H30" s="16"/>
      <c r="I30" s="16"/>
      <c r="J30" s="7"/>
      <c r="K30" s="7"/>
      <c r="L30" s="1"/>
      <c r="M30" s="3" t="s">
        <v>65</v>
      </c>
      <c r="N30" s="4" t="s">
        <v>66</v>
      </c>
      <c r="O30" s="5" t="s">
        <v>67</v>
      </c>
    </row>
    <row r="31" spans="1:15" ht="15" x14ac:dyDescent="0.25">
      <c r="A31" s="1"/>
      <c r="B31" s="9">
        <v>609</v>
      </c>
      <c r="C31" s="31" t="s">
        <v>79</v>
      </c>
      <c r="D31" s="33" t="str">
        <f>IF(T!$D$2=T!$M$2,M32,IF(T!$D$2=T!$N$2,N32,O32))</f>
        <v>e.g. 2nd quintile</v>
      </c>
      <c r="E31" s="18"/>
      <c r="F31" s="19" t="str">
        <f>IF(E31="","×",IF(E31='1m'!E31,"✓","×"))</f>
        <v>×</v>
      </c>
      <c r="G31" s="21"/>
      <c r="H31" s="16"/>
      <c r="I31" s="16"/>
      <c r="J31" s="7"/>
      <c r="K31" s="7"/>
      <c r="L31" s="1"/>
      <c r="M31" s="3" t="s">
        <v>80</v>
      </c>
      <c r="N31" s="4" t="s">
        <v>81</v>
      </c>
      <c r="O31" s="5" t="s">
        <v>82</v>
      </c>
    </row>
    <row r="32" spans="1:15" ht="15" x14ac:dyDescent="0.25">
      <c r="A32" s="1"/>
      <c r="B32" s="9">
        <v>600</v>
      </c>
      <c r="C32" s="31" t="s">
        <v>83</v>
      </c>
      <c r="D32" s="33" t="str">
        <f>IF(T!$D$2=T!$M$2,M33,IF(T!$D$2=T!$N$2,N33,O33))</f>
        <v>e.g. 4th quintile</v>
      </c>
      <c r="E32" s="39"/>
      <c r="F32" s="19" t="str">
        <f>IF(E32="","×",IF(E32='1m'!E32,"✓","×"))</f>
        <v>×</v>
      </c>
      <c r="G32" s="21"/>
      <c r="H32" s="16"/>
      <c r="I32" s="16"/>
      <c r="J32" s="7"/>
      <c r="K32" s="7"/>
      <c r="L32" s="1"/>
      <c r="M32" s="3" t="s">
        <v>84</v>
      </c>
      <c r="N32" s="4" t="s">
        <v>85</v>
      </c>
      <c r="O32" s="5" t="s">
        <v>86</v>
      </c>
    </row>
    <row r="33" spans="1:15" ht="15" x14ac:dyDescent="0.25">
      <c r="A33" s="1"/>
      <c r="B33" s="9">
        <v>704</v>
      </c>
      <c r="C33" s="31"/>
      <c r="D33" s="27" t="str">
        <f>IF(T!$D$2=T!$M$2,M34,IF(T!$D$2=T!$N$2,N34,O34))</f>
        <v xml:space="preserve">    1.2.4. deciles</v>
      </c>
      <c r="E33" s="32"/>
      <c r="F33" s="21"/>
      <c r="G33" s="21"/>
      <c r="H33" s="16"/>
      <c r="I33" s="16"/>
      <c r="J33" s="7"/>
      <c r="K33" s="7"/>
      <c r="L33" s="1"/>
      <c r="M33" s="3" t="s">
        <v>87</v>
      </c>
      <c r="N33" s="4" t="s">
        <v>88</v>
      </c>
      <c r="O33" s="5" t="s">
        <v>89</v>
      </c>
    </row>
    <row r="34" spans="1:15" ht="15" x14ac:dyDescent="0.25">
      <c r="A34" s="1"/>
      <c r="B34" s="9">
        <v>649</v>
      </c>
      <c r="C34" s="31" t="s">
        <v>90</v>
      </c>
      <c r="D34" s="33" t="str">
        <f>IF(T!$D$2=T!$M$2,M35,IF(T!$D$2=T!$N$2,N35,O35))</f>
        <v>e.g. 1st decile</v>
      </c>
      <c r="E34" s="18"/>
      <c r="F34" s="19" t="str">
        <f>IF(E34="","×",IF(E34='1m'!E34,"✓","×"))</f>
        <v>×</v>
      </c>
      <c r="G34" s="21"/>
      <c r="H34" s="16"/>
      <c r="I34" s="16"/>
      <c r="J34" s="7"/>
      <c r="K34" s="7"/>
      <c r="L34" s="1"/>
      <c r="M34" s="3" t="s">
        <v>91</v>
      </c>
      <c r="N34" s="4" t="s">
        <v>92</v>
      </c>
      <c r="O34" s="5" t="s">
        <v>93</v>
      </c>
    </row>
    <row r="35" spans="1:15" ht="15" x14ac:dyDescent="0.25">
      <c r="A35" s="1"/>
      <c r="B35" s="9">
        <v>661</v>
      </c>
      <c r="C35" s="31" t="s">
        <v>94</v>
      </c>
      <c r="D35" s="33" t="str">
        <f>IF(T!$D$2=T!$M$2,M36,IF(T!$D$2=T!$N$2,N36,O36))</f>
        <v>e.g. 6th decile</v>
      </c>
      <c r="E35" s="18"/>
      <c r="F35" s="19" t="str">
        <f>IF(E35="","×",IF(E35='1m'!E35,"✓","×"))</f>
        <v>×</v>
      </c>
      <c r="G35" s="21"/>
      <c r="H35" s="16"/>
      <c r="I35" s="16"/>
      <c r="J35" s="7"/>
      <c r="K35" s="7"/>
      <c r="L35" s="1"/>
      <c r="M35" s="3" t="s">
        <v>95</v>
      </c>
      <c r="N35" s="4" t="s">
        <v>96</v>
      </c>
      <c r="O35" s="5" t="s">
        <v>97</v>
      </c>
    </row>
    <row r="36" spans="1:15" ht="15" x14ac:dyDescent="0.25">
      <c r="A36" s="1"/>
      <c r="B36" s="9">
        <v>616</v>
      </c>
      <c r="C36" s="31" t="s">
        <v>98</v>
      </c>
      <c r="D36" s="35" t="str">
        <f>IF(T!$D$2=T!$M$2,M37,IF(T!$D$2=T!$N$2,N37,O37))</f>
        <v>e.g. 9th decile</v>
      </c>
      <c r="E36" s="37"/>
      <c r="F36" s="19" t="str">
        <f>IF(E36="","×",IF(E36='1m'!E36,"✓","×"))</f>
        <v>×</v>
      </c>
      <c r="G36" s="21"/>
      <c r="H36" s="16"/>
      <c r="I36" s="16"/>
      <c r="J36" s="7"/>
      <c r="K36" s="7"/>
      <c r="L36" s="1"/>
      <c r="M36" s="3" t="s">
        <v>99</v>
      </c>
      <c r="N36" s="4" t="s">
        <v>100</v>
      </c>
      <c r="O36" s="5" t="s">
        <v>101</v>
      </c>
    </row>
    <row r="37" spans="1:15" ht="15" x14ac:dyDescent="0.25">
      <c r="A37" s="1"/>
      <c r="B37" s="9">
        <v>632</v>
      </c>
      <c r="C37" s="31"/>
      <c r="D37" s="27" t="str">
        <f>IF(T!$D$2=T!$M$2,M38,IF(T!$D$2=T!$N$2,N38,O38))</f>
        <v xml:space="preserve">    1.2.5. percentiles</v>
      </c>
      <c r="E37" s="32"/>
      <c r="F37" s="21"/>
      <c r="G37" s="21"/>
      <c r="H37" s="16"/>
      <c r="I37" s="16"/>
      <c r="J37" s="7"/>
      <c r="K37" s="7"/>
      <c r="L37" s="1"/>
      <c r="M37" s="3" t="s">
        <v>102</v>
      </c>
      <c r="N37" s="4" t="s">
        <v>103</v>
      </c>
      <c r="O37" s="5" t="s">
        <v>104</v>
      </c>
    </row>
    <row r="38" spans="1:15" ht="15" x14ac:dyDescent="0.25">
      <c r="A38" s="1"/>
      <c r="B38" s="9">
        <v>671</v>
      </c>
      <c r="C38" s="31" t="s">
        <v>105</v>
      </c>
      <c r="D38" s="35" t="str">
        <f>IF(T!$D$2=T!$M$2,M39,IF(T!$D$2=T!$N$2,N39,O39))</f>
        <v>e.g. 35th percentile</v>
      </c>
      <c r="E38" s="18"/>
      <c r="F38" s="19" t="str">
        <f>IF(E38="","×",IF(E38='1m'!E38,"✓","×"))</f>
        <v>×</v>
      </c>
      <c r="G38" s="21"/>
      <c r="H38" s="16"/>
      <c r="I38" s="16"/>
      <c r="J38" s="7"/>
      <c r="K38" s="7"/>
      <c r="L38" s="1"/>
      <c r="M38" s="3" t="s">
        <v>106</v>
      </c>
      <c r="N38" s="4" t="s">
        <v>107</v>
      </c>
      <c r="O38" s="5" t="s">
        <v>108</v>
      </c>
    </row>
    <row r="39" spans="1:15" ht="15" x14ac:dyDescent="0.25">
      <c r="A39" s="1"/>
      <c r="B39" s="9">
        <v>689</v>
      </c>
      <c r="C39" s="31"/>
      <c r="D39" s="27" t="str">
        <f>IF(T!$D$2=T!$M$2,M40,IF(T!$D$2=T!$N$2,N40,O40))</f>
        <v xml:space="preserve">    1.2.6. α-quantile</v>
      </c>
      <c r="E39" s="32"/>
      <c r="F39" s="21"/>
      <c r="G39" s="21"/>
      <c r="H39" s="16"/>
      <c r="I39" s="16"/>
      <c r="J39" s="7"/>
      <c r="K39" s="7"/>
      <c r="L39" s="1"/>
      <c r="M39" s="3" t="s">
        <v>109</v>
      </c>
      <c r="N39" s="4" t="s">
        <v>110</v>
      </c>
      <c r="O39" s="5" t="s">
        <v>111</v>
      </c>
    </row>
    <row r="40" spans="1:15" ht="15" x14ac:dyDescent="0.25">
      <c r="A40" s="1"/>
      <c r="B40" s="9">
        <v>683</v>
      </c>
      <c r="C40" s="31"/>
      <c r="D40" s="35" t="str">
        <f>IF(T!$D$2=T!$M$2,M41,IF(T!$D$2=T!$N$2,N41,O41))</f>
        <v>e.g. α = 0.378</v>
      </c>
      <c r="E40" s="18"/>
      <c r="F40" s="19" t="str">
        <f>IF(E40="","×",IF(E40='1m'!E40,"✓","×"))</f>
        <v>×</v>
      </c>
      <c r="G40" s="21"/>
      <c r="H40" s="16"/>
      <c r="I40" s="16"/>
      <c r="J40" s="7"/>
      <c r="K40" s="7"/>
      <c r="L40" s="1"/>
      <c r="M40" s="3" t="s">
        <v>112</v>
      </c>
      <c r="N40" s="4" t="s">
        <v>113</v>
      </c>
      <c r="O40" s="5" t="s">
        <v>114</v>
      </c>
    </row>
    <row r="41" spans="1:15" ht="15" x14ac:dyDescent="0.25">
      <c r="A41" s="1"/>
      <c r="B41" s="9">
        <v>660</v>
      </c>
      <c r="C41" s="31" t="s">
        <v>115</v>
      </c>
      <c r="D41" s="27" t="str">
        <f>IF(T!$D$2=T!$M$2,M42,IF(T!$D$2=T!$N$2,N42,O42))</f>
        <v xml:space="preserve">    1.2.7. minimum</v>
      </c>
      <c r="E41" s="32"/>
      <c r="F41" s="21"/>
      <c r="G41" s="21"/>
      <c r="H41" s="16"/>
      <c r="I41" s="16"/>
      <c r="J41" s="7"/>
      <c r="K41" s="7"/>
      <c r="L41" s="1"/>
      <c r="M41" s="3" t="s">
        <v>116</v>
      </c>
      <c r="N41" s="4" t="s">
        <v>117</v>
      </c>
      <c r="O41" s="5" t="s">
        <v>118</v>
      </c>
    </row>
    <row r="42" spans="1:15" ht="15" x14ac:dyDescent="0.25">
      <c r="A42" s="1"/>
      <c r="B42" s="9">
        <v>726</v>
      </c>
      <c r="C42" s="31"/>
      <c r="D42" s="33" t="str">
        <f>IF(T!$D$2=T!$M$2,M43,IF(T!$D$2=T!$N$2,N43,O43))</f>
        <v>MIN</v>
      </c>
      <c r="E42" s="34"/>
      <c r="F42" s="19" t="str">
        <f>IF(E42="","×",IF(E42='1m'!E42,"✓","×"))</f>
        <v>×</v>
      </c>
      <c r="G42" s="24"/>
      <c r="H42" s="16"/>
      <c r="I42" s="16"/>
      <c r="J42" s="7"/>
      <c r="K42" s="7"/>
      <c r="L42" s="1"/>
      <c r="M42" s="3" t="s">
        <v>119</v>
      </c>
      <c r="N42" s="4" t="s">
        <v>120</v>
      </c>
      <c r="O42" s="5" t="s">
        <v>119</v>
      </c>
    </row>
    <row r="43" spans="1:15" ht="15" x14ac:dyDescent="0.25">
      <c r="A43" s="1"/>
      <c r="B43" s="9">
        <v>608</v>
      </c>
      <c r="C43" s="31"/>
      <c r="D43" s="33" t="str">
        <f>IF(T!$D$2=T!$M$2,M44,IF(T!$D$2=T!$N$2,N44,O44))</f>
        <v>QUARTILE</v>
      </c>
      <c r="E43" s="18"/>
      <c r="F43" s="19" t="str">
        <f>IF(E43="","×",IF(E43='1m'!E43,"✓","×"))</f>
        <v>×</v>
      </c>
      <c r="G43" s="21"/>
      <c r="H43" s="16"/>
      <c r="I43" s="16"/>
      <c r="J43" s="7"/>
      <c r="K43" s="7"/>
      <c r="L43" s="1"/>
      <c r="M43" s="3" t="s">
        <v>121</v>
      </c>
      <c r="N43" s="4" t="s">
        <v>121</v>
      </c>
      <c r="O43" s="5" t="s">
        <v>121</v>
      </c>
    </row>
    <row r="44" spans="1:15" ht="15" x14ac:dyDescent="0.25">
      <c r="A44" s="1"/>
      <c r="B44" s="9">
        <v>624</v>
      </c>
      <c r="C44" s="31"/>
      <c r="D44" s="35" t="str">
        <f>IF(T!$D$2=T!$M$2,M45,IF(T!$D$2=T!$N$2,N45,O45))</f>
        <v>PERCENTILE</v>
      </c>
      <c r="E44" s="18"/>
      <c r="F44" s="19" t="str">
        <f>IF(E44="","×",IF(E44='1m'!E44,"✓","×"))</f>
        <v>×</v>
      </c>
      <c r="G44" s="21"/>
      <c r="H44" s="16"/>
      <c r="I44" s="16"/>
      <c r="J44" s="7"/>
      <c r="K44" s="7"/>
      <c r="L44" s="1"/>
      <c r="M44" s="3" t="s">
        <v>63</v>
      </c>
      <c r="N44" s="4" t="s">
        <v>64</v>
      </c>
      <c r="O44" s="5" t="s">
        <v>64</v>
      </c>
    </row>
    <row r="45" spans="1:15" ht="15" x14ac:dyDescent="0.25">
      <c r="A45" s="1"/>
      <c r="B45" s="9">
        <v>632</v>
      </c>
      <c r="C45" s="31" t="s">
        <v>122</v>
      </c>
      <c r="D45" s="38" t="str">
        <f>IF(T!$D$2=T!$M$2,M46,IF(T!$D$2=T!$N$2,N46,O46))</f>
        <v xml:space="preserve">    1.2.8. maximum</v>
      </c>
      <c r="E45" s="32"/>
      <c r="F45" s="21"/>
      <c r="G45" s="21"/>
      <c r="H45" s="16"/>
      <c r="I45" s="16"/>
      <c r="J45" s="7"/>
      <c r="K45" s="7"/>
      <c r="L45" s="1"/>
      <c r="M45" s="3" t="s">
        <v>65</v>
      </c>
      <c r="N45" s="4" t="s">
        <v>66</v>
      </c>
      <c r="O45" s="5" t="s">
        <v>67</v>
      </c>
    </row>
    <row r="46" spans="1:15" ht="15" x14ac:dyDescent="0.25">
      <c r="A46" s="1"/>
      <c r="B46" s="9">
        <v>698</v>
      </c>
      <c r="C46" s="1"/>
      <c r="D46" s="33" t="str">
        <f>IF(T!$D$2=T!$M$2,M47,IF(T!$D$2=T!$N$2,N47,O47))</f>
        <v>MAX</v>
      </c>
      <c r="E46" s="34"/>
      <c r="F46" s="19" t="str">
        <f>IF(E46="","×",IF(E46='1m'!E46,"✓","×"))</f>
        <v>×</v>
      </c>
      <c r="G46" s="24"/>
      <c r="H46" s="16"/>
      <c r="I46" s="16"/>
      <c r="J46" s="7"/>
      <c r="K46" s="7"/>
      <c r="L46" s="1"/>
      <c r="M46" s="3" t="s">
        <v>123</v>
      </c>
      <c r="N46" s="4" t="s">
        <v>124</v>
      </c>
      <c r="O46" s="5" t="s">
        <v>123</v>
      </c>
    </row>
    <row r="47" spans="1:15" ht="15" x14ac:dyDescent="0.25">
      <c r="A47" s="1"/>
      <c r="B47" s="9">
        <v>657</v>
      </c>
      <c r="C47" s="1"/>
      <c r="D47" s="33" t="str">
        <f>IF(T!$D$2=T!$M$2,M48,IF(T!$D$2=T!$N$2,N48,O48))</f>
        <v>QUARTILE</v>
      </c>
      <c r="E47" s="18"/>
      <c r="F47" s="19" t="str">
        <f>IF(E47="","×",IF(E47='1m'!E47,"✓","×"))</f>
        <v>×</v>
      </c>
      <c r="G47" s="21"/>
      <c r="H47" s="16"/>
      <c r="I47" s="16"/>
      <c r="J47" s="7"/>
      <c r="K47" s="7"/>
      <c r="L47" s="1"/>
      <c r="M47" s="3" t="s">
        <v>125</v>
      </c>
      <c r="N47" s="4" t="s">
        <v>125</v>
      </c>
      <c r="O47" s="5" t="s">
        <v>125</v>
      </c>
    </row>
    <row r="48" spans="1:15" ht="15" x14ac:dyDescent="0.25">
      <c r="A48" s="1"/>
      <c r="B48" s="9">
        <v>653</v>
      </c>
      <c r="C48" s="1"/>
      <c r="D48" s="35" t="str">
        <f>IF(T!$D$2=T!$M$2,M49,IF(T!$D$2=T!$N$2,N49,O49))</f>
        <v>PERCENTILE</v>
      </c>
      <c r="E48" s="18"/>
      <c r="F48" s="19" t="str">
        <f>IF(E48="","×",IF(E48='1m'!E48,"✓","×"))</f>
        <v>×</v>
      </c>
      <c r="G48" s="21"/>
      <c r="H48" s="16"/>
      <c r="I48" s="16"/>
      <c r="J48" s="7"/>
      <c r="K48" s="7"/>
      <c r="L48" s="1"/>
      <c r="M48" s="3" t="s">
        <v>63</v>
      </c>
      <c r="N48" s="4" t="s">
        <v>64</v>
      </c>
      <c r="O48" s="5" t="s">
        <v>64</v>
      </c>
    </row>
    <row r="49" spans="1:15" ht="15" x14ac:dyDescent="0.25">
      <c r="A49" s="1"/>
      <c r="B49" s="9">
        <v>762</v>
      </c>
      <c r="C49" s="1"/>
      <c r="D49" s="20"/>
      <c r="E49" s="1"/>
      <c r="F49" s="16"/>
      <c r="G49" s="16"/>
      <c r="H49" s="16"/>
      <c r="I49" s="16"/>
      <c r="J49" s="7"/>
      <c r="K49" s="7"/>
      <c r="L49" s="1"/>
      <c r="M49" s="3" t="s">
        <v>65</v>
      </c>
      <c r="N49" s="4" t="s">
        <v>66</v>
      </c>
      <c r="O49" s="5" t="s">
        <v>67</v>
      </c>
    </row>
    <row r="50" spans="1:15" ht="30" x14ac:dyDescent="0.25">
      <c r="A50" s="1"/>
      <c r="B50" s="9">
        <v>578</v>
      </c>
      <c r="C50" s="1"/>
      <c r="D50" s="70" t="str">
        <f>IF(T!$D$2=T!$M$2,M50,IF(T!$D$2=T!$N$2,N50,O50))</f>
        <v>What percentage of the data is less than 600?</v>
      </c>
      <c r="E50" s="18"/>
      <c r="F50" s="19" t="str">
        <f>IF(E50="","×",IF(E50='1m'!E50,"✓","×"))</f>
        <v>×</v>
      </c>
      <c r="G50" s="16"/>
      <c r="H50" s="16"/>
      <c r="I50" s="16"/>
      <c r="J50" s="7"/>
      <c r="K50" s="7"/>
      <c r="L50" s="1"/>
      <c r="M50" s="3" t="s">
        <v>126</v>
      </c>
      <c r="N50" s="4" t="s">
        <v>127</v>
      </c>
      <c r="O50" s="5" t="s">
        <v>128</v>
      </c>
    </row>
    <row r="51" spans="1:15" ht="15" x14ac:dyDescent="0.25">
      <c r="A51" s="1"/>
      <c r="B51" s="9">
        <v>627</v>
      </c>
      <c r="C51" s="1"/>
      <c r="D51" s="1"/>
      <c r="E51" s="1"/>
      <c r="F51" s="16"/>
      <c r="G51" s="16"/>
      <c r="H51" s="16"/>
      <c r="I51" s="16"/>
      <c r="J51" s="7"/>
      <c r="K51" s="7"/>
      <c r="L51" s="1"/>
      <c r="M51" s="3" t="s">
        <v>129</v>
      </c>
      <c r="N51" s="4" t="s">
        <v>130</v>
      </c>
      <c r="O51" s="5" t="s">
        <v>131</v>
      </c>
    </row>
    <row r="52" spans="1:15" ht="15" x14ac:dyDescent="0.25">
      <c r="A52" s="1"/>
      <c r="B52" s="9">
        <v>603</v>
      </c>
      <c r="C52" s="1"/>
      <c r="D52" s="1"/>
      <c r="E52" s="1"/>
      <c r="F52" s="16"/>
      <c r="G52" s="16"/>
      <c r="H52" s="16"/>
      <c r="I52" s="16"/>
      <c r="J52" s="7"/>
      <c r="K52" s="7"/>
      <c r="L52" s="1"/>
      <c r="M52" s="3" t="s">
        <v>132</v>
      </c>
      <c r="N52" s="4" t="s">
        <v>133</v>
      </c>
      <c r="O52" s="5" t="s">
        <v>134</v>
      </c>
    </row>
    <row r="53" spans="1:15" ht="15" x14ac:dyDescent="0.25">
      <c r="A53" s="1"/>
      <c r="B53" s="9">
        <v>598</v>
      </c>
      <c r="C53" s="1"/>
      <c r="D53" s="25" t="str">
        <f>IF(T!$D$2=T!$M$2,M51,IF(T!$D$2=T!$N$2,N51,O51))</f>
        <v>2. measures of dispersion (spread)</v>
      </c>
      <c r="E53" s="40"/>
      <c r="F53" s="41"/>
      <c r="G53" s="16"/>
      <c r="H53" s="16"/>
      <c r="I53" s="16"/>
      <c r="J53" s="7"/>
      <c r="K53" s="7"/>
      <c r="L53" s="1"/>
      <c r="M53" s="3" t="s">
        <v>135</v>
      </c>
      <c r="N53" s="4" t="s">
        <v>136</v>
      </c>
      <c r="O53" s="5" t="s">
        <v>137</v>
      </c>
    </row>
    <row r="54" spans="1:15" ht="15" x14ac:dyDescent="0.25">
      <c r="A54" s="1"/>
      <c r="B54" s="9">
        <v>547</v>
      </c>
      <c r="C54" s="1"/>
      <c r="D54" s="1"/>
      <c r="E54" s="1"/>
      <c r="F54" s="16"/>
      <c r="G54" s="16"/>
      <c r="H54" s="16"/>
      <c r="I54" s="16"/>
      <c r="J54" s="7"/>
      <c r="K54" s="7"/>
      <c r="L54" s="1"/>
      <c r="M54" s="3" t="s">
        <v>138</v>
      </c>
      <c r="N54" s="4" t="s">
        <v>139</v>
      </c>
      <c r="O54" s="5" t="s">
        <v>140</v>
      </c>
    </row>
    <row r="55" spans="1:15" ht="15" x14ac:dyDescent="0.25">
      <c r="A55" s="1"/>
      <c r="B55" s="9">
        <v>655</v>
      </c>
      <c r="C55" s="1"/>
      <c r="D55" s="42" t="str">
        <f>IF(T!$D$2=T!$M$2,M52,IF(T!$D$2=T!$N$2,N52,O52))</f>
        <v xml:space="preserve">  2.1. range</v>
      </c>
      <c r="E55" s="18"/>
      <c r="F55" s="19" t="str">
        <f>IF(E55="","×",IF(E55='1m'!E55,"✓","×"))</f>
        <v>×</v>
      </c>
      <c r="G55" s="16"/>
      <c r="H55" s="16"/>
      <c r="I55" s="16"/>
      <c r="J55" s="7"/>
      <c r="K55" s="7"/>
      <c r="L55" s="1"/>
      <c r="M55" s="3" t="s">
        <v>141</v>
      </c>
      <c r="N55" s="4" t="s">
        <v>142</v>
      </c>
      <c r="O55" s="5" t="s">
        <v>143</v>
      </c>
    </row>
    <row r="56" spans="1:15" ht="15" x14ac:dyDescent="0.25">
      <c r="A56" s="1"/>
      <c r="B56" s="9">
        <v>634</v>
      </c>
      <c r="C56" s="1"/>
      <c r="D56" s="42" t="str">
        <f>IF(T!$D$2=T!$M$2,M53,IF(T!$D$2=T!$N$2,N53,O53))</f>
        <v xml:space="preserve">  2.2. interquartile range</v>
      </c>
      <c r="E56" s="18"/>
      <c r="F56" s="19" t="str">
        <f>IF(E56="","×",IF(E56='1m'!E56,"✓","×"))</f>
        <v>×</v>
      </c>
      <c r="G56" s="16"/>
      <c r="H56" s="16"/>
      <c r="I56" s="16"/>
      <c r="J56" s="7"/>
      <c r="K56" s="7"/>
      <c r="L56" s="1"/>
      <c r="M56" s="3" t="s">
        <v>144</v>
      </c>
      <c r="N56" s="4" t="s">
        <v>145</v>
      </c>
      <c r="O56" s="5" t="s">
        <v>144</v>
      </c>
    </row>
    <row r="57" spans="1:15" ht="15" x14ac:dyDescent="0.25">
      <c r="A57" s="1"/>
      <c r="B57" s="9">
        <v>539</v>
      </c>
      <c r="C57" s="1"/>
      <c r="D57" s="42" t="str">
        <f>IF(T!$D$2=T!$M$2,M54,IF(T!$D$2=T!$N$2,N54,O54))</f>
        <v xml:space="preserve">  2.3. interdecile range</v>
      </c>
      <c r="E57" s="18"/>
      <c r="F57" s="19" t="str">
        <f>IF(E57="","×",IF(E57='1m'!E57,"✓","×"))</f>
        <v>×</v>
      </c>
      <c r="G57" s="16"/>
      <c r="H57" s="16"/>
      <c r="I57" s="16"/>
      <c r="J57" s="7"/>
      <c r="K57" s="7"/>
      <c r="L57" s="1"/>
      <c r="M57" s="3" t="s">
        <v>146</v>
      </c>
      <c r="N57" s="4" t="s">
        <v>147</v>
      </c>
      <c r="O57" s="5" t="s">
        <v>147</v>
      </c>
    </row>
    <row r="58" spans="1:15" ht="45" x14ac:dyDescent="0.25">
      <c r="A58" s="1"/>
      <c r="B58" s="9">
        <v>586</v>
      </c>
      <c r="C58" s="1"/>
      <c r="D58" s="42" t="str">
        <f>IF(T!$D$2=T!$M$2,M55,IF(T!$D$2=T!$N$2,N55,O55))</f>
        <v xml:space="preserve">  2.4. the variance of the data set AS A POPULATION (variance without Bessel's correction)</v>
      </c>
      <c r="E58" s="43"/>
      <c r="F58" s="16"/>
      <c r="G58" s="16"/>
      <c r="H58" s="16"/>
      <c r="I58" s="16"/>
      <c r="J58" s="7"/>
      <c r="K58" s="7"/>
      <c r="L58" s="1"/>
      <c r="M58" s="3" t="s">
        <v>148</v>
      </c>
      <c r="N58" s="4" t="s">
        <v>149</v>
      </c>
      <c r="O58" s="5" t="s">
        <v>150</v>
      </c>
    </row>
    <row r="59" spans="1:15" ht="15" x14ac:dyDescent="0.25">
      <c r="A59" s="1"/>
      <c r="B59" s="9">
        <v>702</v>
      </c>
      <c r="C59" s="1"/>
      <c r="D59" s="33" t="str">
        <f>IF(T!$D$2=T!$M$2,M57,IF(T!$D$2=T!$N$2,N57,O57))</f>
        <v>VAR.P</v>
      </c>
      <c r="E59" s="18"/>
      <c r="F59" s="19" t="str">
        <f>IF(E59="","×",IF(E59='1m'!E59,"✓","×"))</f>
        <v>×</v>
      </c>
      <c r="G59" s="16"/>
      <c r="H59" s="16"/>
      <c r="I59" s="16"/>
      <c r="J59" s="7"/>
      <c r="K59" s="7"/>
      <c r="L59" s="1"/>
      <c r="M59" s="3" t="s">
        <v>151</v>
      </c>
      <c r="N59" s="4" t="s">
        <v>152</v>
      </c>
      <c r="O59" s="5" t="s">
        <v>153</v>
      </c>
    </row>
    <row r="60" spans="1:15" ht="45" x14ac:dyDescent="0.25">
      <c r="A60" s="1"/>
      <c r="B60" s="9">
        <v>650</v>
      </c>
      <c r="C60" s="1"/>
      <c r="D60" s="27" t="str">
        <f>IF(T!$D$2=T!$M$2,M58,IF(T!$D$2=T!$N$2,N58,O58))</f>
        <v xml:space="preserve">  2.5. the standard deviation of the data set AS A POPULATION (variance without Bessel's correction)</v>
      </c>
      <c r="E60" s="44"/>
      <c r="F60" s="16"/>
      <c r="G60" s="16"/>
      <c r="H60" s="16"/>
      <c r="I60" s="16"/>
      <c r="J60" s="7"/>
      <c r="K60" s="7"/>
      <c r="L60" s="1"/>
      <c r="M60" s="3" t="s">
        <v>154</v>
      </c>
      <c r="N60" s="4" t="s">
        <v>155</v>
      </c>
      <c r="O60" s="5" t="s">
        <v>156</v>
      </c>
    </row>
    <row r="61" spans="1:15" ht="15" x14ac:dyDescent="0.25">
      <c r="A61" s="1"/>
      <c r="B61" s="9">
        <v>639</v>
      </c>
      <c r="C61" s="1"/>
      <c r="D61" s="33" t="str">
        <f>IF(T!$D$2=T!$M$2,M60,IF(T!$D$2=T!$N$2,N60,O60))</f>
        <v>STDEV.P</v>
      </c>
      <c r="E61" s="18"/>
      <c r="F61" s="19" t="str">
        <f>IF(E61="","×",IF(E61='1m'!E61,"✓","×"))</f>
        <v>×</v>
      </c>
      <c r="G61" s="16"/>
      <c r="H61" s="16"/>
      <c r="I61" s="16"/>
      <c r="J61" s="7"/>
      <c r="K61" s="7"/>
      <c r="L61" s="1"/>
      <c r="M61" s="3" t="s">
        <v>157</v>
      </c>
      <c r="N61" s="4" t="s">
        <v>158</v>
      </c>
      <c r="O61" s="5" t="s">
        <v>159</v>
      </c>
    </row>
    <row r="62" spans="1:15" ht="15" x14ac:dyDescent="0.25">
      <c r="A62" s="1"/>
      <c r="B62" s="9">
        <v>732</v>
      </c>
      <c r="C62" s="1"/>
      <c r="D62" s="35" t="str">
        <f>IF(T!$D$2=T!$M$2,M61,IF(T!$D$2=T!$N$2,N61,O61))</f>
        <v>from the variance</v>
      </c>
      <c r="E62" s="18"/>
      <c r="F62" s="19" t="str">
        <f>IF(E62="","×",IF(E62='1m'!E62,"✓","×"))</f>
        <v>×</v>
      </c>
      <c r="G62" s="16"/>
      <c r="H62" s="16"/>
      <c r="I62" s="16"/>
      <c r="J62" s="7"/>
      <c r="K62" s="7"/>
      <c r="L62" s="1"/>
      <c r="M62" s="3" t="s">
        <v>160</v>
      </c>
      <c r="N62" s="4" t="s">
        <v>161</v>
      </c>
      <c r="O62" s="5" t="s">
        <v>162</v>
      </c>
    </row>
    <row r="63" spans="1:15" ht="15" x14ac:dyDescent="0.25">
      <c r="A63" s="1"/>
      <c r="B63" s="9">
        <v>644</v>
      </c>
      <c r="C63" s="1"/>
      <c r="D63" s="20"/>
      <c r="E63" s="1"/>
      <c r="F63" s="16"/>
      <c r="G63" s="16"/>
      <c r="H63" s="16"/>
      <c r="I63" s="16"/>
      <c r="J63" s="7"/>
      <c r="K63" s="7"/>
      <c r="L63" s="1"/>
      <c r="M63" s="3" t="s">
        <v>424</v>
      </c>
      <c r="N63" s="4" t="s">
        <v>425</v>
      </c>
      <c r="O63" s="5" t="s">
        <v>426</v>
      </c>
    </row>
    <row r="64" spans="1:15" ht="15" x14ac:dyDescent="0.25">
      <c r="A64" s="1"/>
      <c r="B64" s="9">
        <v>606</v>
      </c>
      <c r="C64" s="1"/>
      <c r="D64" s="27" t="str">
        <f>IF(T!$D$2=T!$M$2,M62,IF(T!$D$2=T!$N$2,N62,O62))</f>
        <v>3. skewness</v>
      </c>
      <c r="E64" s="18"/>
      <c r="F64" s="19" t="str">
        <f>IF(E64="","×",IF(E64='1m'!E64,"✓","×"))</f>
        <v>×</v>
      </c>
      <c r="G64" s="21"/>
      <c r="H64" s="16"/>
      <c r="I64" s="16"/>
      <c r="J64" s="7"/>
      <c r="K64" s="7"/>
      <c r="L64" s="1"/>
      <c r="M64" s="3" t="s">
        <v>163</v>
      </c>
      <c r="N64" s="4" t="s">
        <v>164</v>
      </c>
      <c r="O64" s="5" t="s">
        <v>165</v>
      </c>
    </row>
    <row r="65" spans="1:15" ht="30" x14ac:dyDescent="0.25">
      <c r="A65" s="1"/>
      <c r="B65" s="9">
        <v>676</v>
      </c>
      <c r="C65" s="1"/>
      <c r="D65" s="35" t="str">
        <f>IF(T!$D$2=T!$M$2,M63,IF(T!$D$2=T!$N$2,N63,O63))</f>
        <v>Is the distribution skewed to the right (1) or to the left (2)?</v>
      </c>
      <c r="E65" s="45"/>
      <c r="F65" s="19" t="str">
        <f>IF(E65="","×",IF(E65='1m'!E65,"✓","×"))</f>
        <v>×</v>
      </c>
      <c r="G65" s="41"/>
      <c r="H65" s="16"/>
      <c r="I65" s="16"/>
      <c r="J65" s="7"/>
      <c r="K65" s="7"/>
      <c r="L65" s="1"/>
      <c r="M65" s="3" t="s">
        <v>166</v>
      </c>
      <c r="N65" s="4" t="s">
        <v>167</v>
      </c>
      <c r="O65" s="5" t="s">
        <v>168</v>
      </c>
    </row>
    <row r="66" spans="1:15" ht="15" x14ac:dyDescent="0.25">
      <c r="A66" s="1"/>
      <c r="B66" s="9">
        <v>687</v>
      </c>
      <c r="C66" s="1"/>
      <c r="D66" s="20"/>
      <c r="E66" s="1"/>
      <c r="F66" s="16"/>
      <c r="G66" s="21"/>
      <c r="H66" s="16"/>
      <c r="I66" s="16"/>
      <c r="J66" s="7"/>
      <c r="K66" s="7"/>
      <c r="L66" s="1"/>
      <c r="M66" s="3" t="s">
        <v>427</v>
      </c>
      <c r="N66" s="4" t="s">
        <v>428</v>
      </c>
      <c r="O66" s="5" t="s">
        <v>429</v>
      </c>
    </row>
    <row r="67" spans="1:15" ht="14.1" customHeight="1" x14ac:dyDescent="0.25">
      <c r="A67" s="1"/>
      <c r="B67" s="9">
        <v>666</v>
      </c>
      <c r="C67" s="1"/>
      <c r="D67" s="27" t="str">
        <f>IF(T!$D$2=T!$M$2,M65,IF(T!$D$2=T!$N$2,N65,O65))</f>
        <v>4. kurtosis (also: peakedness)</v>
      </c>
      <c r="E67" s="18"/>
      <c r="F67" s="19" t="str">
        <f>IF(E67="","×",IF(E67='1m'!E67,"✓","×"))</f>
        <v>×</v>
      </c>
      <c r="G67" s="16"/>
      <c r="H67" s="16"/>
      <c r="I67" s="16"/>
      <c r="J67" s="7"/>
      <c r="K67" s="7"/>
      <c r="L67" s="1"/>
      <c r="M67" s="3" t="s">
        <v>169</v>
      </c>
      <c r="N67" s="4" t="s">
        <v>170</v>
      </c>
      <c r="O67" s="5" t="s">
        <v>171</v>
      </c>
    </row>
    <row r="68" spans="1:15" ht="30" x14ac:dyDescent="0.25">
      <c r="A68" s="1"/>
      <c r="B68" s="9">
        <v>685</v>
      </c>
      <c r="C68" s="1"/>
      <c r="D68" s="35" t="str">
        <f>IF(T!$D$2=T!$M$2,M66,IF(T!$D$2=T!$N$2,N66,O66))</f>
        <v>Is the distribution leptokurtic ("peaked", 1) or platykurtic ("flat", 2)?</v>
      </c>
      <c r="E68" s="45"/>
      <c r="F68" s="19" t="str">
        <f>IF(E68="","×",IF(E68='1m'!E68,"✓","×"))</f>
        <v>×</v>
      </c>
      <c r="G68" s="16"/>
      <c r="H68" s="16"/>
      <c r="I68" s="16"/>
      <c r="J68" s="7"/>
      <c r="K68" s="7"/>
      <c r="L68" s="1"/>
      <c r="M68" s="3" t="s">
        <v>172</v>
      </c>
      <c r="N68" s="4" t="s">
        <v>173</v>
      </c>
      <c r="O68" s="5" t="s">
        <v>174</v>
      </c>
    </row>
    <row r="69" spans="1:15" ht="15" x14ac:dyDescent="0.25">
      <c r="A69" s="1"/>
      <c r="B69" s="9">
        <v>678</v>
      </c>
      <c r="C69" s="1"/>
      <c r="D69" s="1"/>
      <c r="E69" s="1"/>
      <c r="F69" s="16"/>
      <c r="G69" s="16"/>
      <c r="H69" s="16"/>
      <c r="I69" s="16"/>
      <c r="J69" s="7"/>
      <c r="K69" s="7"/>
      <c r="L69" s="1"/>
      <c r="M69" s="3" t="s">
        <v>175</v>
      </c>
      <c r="N69" s="4" t="s">
        <v>176</v>
      </c>
      <c r="O69" s="5" t="s">
        <v>177</v>
      </c>
    </row>
    <row r="70" spans="1:15" ht="15" x14ac:dyDescent="0.25">
      <c r="A70" s="1"/>
      <c r="B70" s="9">
        <v>707</v>
      </c>
      <c r="C70" s="1"/>
      <c r="D70" s="27" t="str">
        <f>IF(T!$D$2=T!$M$2,M68,IF(T!$D$2=T!$N$2,N68,O68))</f>
        <v>5. moments</v>
      </c>
      <c r="E70" s="44"/>
      <c r="F70" s="16"/>
      <c r="G70" s="16"/>
      <c r="H70" s="16"/>
      <c r="I70" s="16"/>
      <c r="J70" s="7"/>
      <c r="K70" s="7"/>
      <c r="L70" s="1"/>
      <c r="M70" s="3" t="s">
        <v>178</v>
      </c>
      <c r="N70" s="4" t="s">
        <v>179</v>
      </c>
      <c r="O70" s="5" t="s">
        <v>180</v>
      </c>
    </row>
    <row r="71" spans="1:15" ht="15" x14ac:dyDescent="0.25">
      <c r="A71" s="1"/>
      <c r="B71" s="9">
        <v>597</v>
      </c>
      <c r="C71" s="1"/>
      <c r="D71" s="27" t="str">
        <f>IF(T!$D$2=T!$M$2,M69,IF(T!$D$2=T!$N$2,N69,O69))</f>
        <v xml:space="preserve">  5.1. moments (about zero)</v>
      </c>
      <c r="E71" s="44"/>
      <c r="F71" s="16"/>
      <c r="G71" s="16"/>
      <c r="H71" s="16"/>
      <c r="I71" s="16"/>
      <c r="J71" s="7"/>
      <c r="K71" s="7"/>
      <c r="L71" s="1"/>
      <c r="M71" s="3" t="s">
        <v>181</v>
      </c>
      <c r="N71" s="4" t="s">
        <v>182</v>
      </c>
      <c r="O71" s="5" t="s">
        <v>183</v>
      </c>
    </row>
    <row r="72" spans="1:15" ht="42" customHeight="1" x14ac:dyDescent="0.25">
      <c r="A72" s="1"/>
      <c r="B72" s="9">
        <v>644</v>
      </c>
      <c r="C72" s="1"/>
      <c r="D72" s="38" t="s">
        <v>184</v>
      </c>
      <c r="E72" s="18"/>
      <c r="F72" s="19" t="str">
        <f>IF(E72="","×",IF(E72='1m'!E72,"✓","×"))</f>
        <v>×</v>
      </c>
      <c r="G72" s="16"/>
      <c r="H72" s="16"/>
      <c r="I72" s="16"/>
      <c r="J72" s="7"/>
      <c r="K72" s="7"/>
      <c r="L72" s="1"/>
      <c r="M72" s="3" t="s">
        <v>185</v>
      </c>
      <c r="N72" s="4" t="s">
        <v>186</v>
      </c>
      <c r="O72" s="5" t="s">
        <v>187</v>
      </c>
    </row>
    <row r="73" spans="1:15" ht="15" x14ac:dyDescent="0.25">
      <c r="A73" s="1"/>
      <c r="B73" s="9">
        <v>567</v>
      </c>
      <c r="C73" s="1"/>
      <c r="D73" s="38" t="s">
        <v>188</v>
      </c>
      <c r="E73" s="18"/>
      <c r="F73" s="19" t="str">
        <f>IF(E73="","×",IF(E73='1m'!E73,"✓","×"))</f>
        <v>×</v>
      </c>
      <c r="G73" s="16"/>
      <c r="H73" s="16"/>
      <c r="I73" s="16"/>
      <c r="J73" s="7"/>
      <c r="K73" s="7"/>
      <c r="L73" s="1"/>
      <c r="M73" s="3" t="s">
        <v>189</v>
      </c>
      <c r="N73" s="4" t="s">
        <v>190</v>
      </c>
      <c r="O73" s="5" t="s">
        <v>191</v>
      </c>
    </row>
    <row r="74" spans="1:15" ht="15" x14ac:dyDescent="0.25">
      <c r="A74" s="1"/>
      <c r="B74" s="9">
        <v>632</v>
      </c>
      <c r="C74" s="1"/>
      <c r="D74" s="46" t="s">
        <v>192</v>
      </c>
      <c r="E74" s="18"/>
      <c r="F74" s="19" t="str">
        <f>IF(E74="","×",IF(E74='1m'!E74,"✓","×"))</f>
        <v>×</v>
      </c>
      <c r="G74" s="16"/>
      <c r="H74" s="16"/>
      <c r="I74" s="16"/>
      <c r="J74" s="7"/>
      <c r="K74" s="7"/>
      <c r="L74" s="1"/>
      <c r="M74" s="3" t="s">
        <v>178</v>
      </c>
      <c r="N74" s="4" t="s">
        <v>179</v>
      </c>
      <c r="O74" s="5" t="s">
        <v>180</v>
      </c>
    </row>
    <row r="75" spans="1:15" ht="42" customHeight="1" x14ac:dyDescent="0.25">
      <c r="A75" s="1"/>
      <c r="B75" s="9">
        <v>543</v>
      </c>
      <c r="C75" s="1"/>
      <c r="D75" s="38" t="str">
        <f>IF(T!$D$2=T!$M$2,M73,IF(T!$D$2=T!$N$2,N73,O73))</f>
        <v xml:space="preserve">  5.2. central moments (about the mean)</v>
      </c>
      <c r="E75" s="43"/>
      <c r="F75" s="16"/>
      <c r="G75" s="16"/>
      <c r="H75" s="16"/>
      <c r="I75" s="16"/>
      <c r="J75" s="7"/>
      <c r="K75" s="7"/>
      <c r="L75" s="1"/>
      <c r="M75" s="3" t="s">
        <v>193</v>
      </c>
      <c r="N75" s="4" t="s">
        <v>194</v>
      </c>
      <c r="O75" s="5" t="s">
        <v>195</v>
      </c>
    </row>
    <row r="76" spans="1:15" ht="15" x14ac:dyDescent="0.25">
      <c r="A76" s="1"/>
      <c r="B76" s="9">
        <v>666</v>
      </c>
      <c r="C76" s="1"/>
      <c r="D76" s="47" t="s">
        <v>184</v>
      </c>
      <c r="E76" s="18"/>
      <c r="F76" s="19" t="str">
        <f>IF(E76="","×",IF(E76='1m'!E76,"✓","×"))</f>
        <v>×</v>
      </c>
      <c r="G76" s="16"/>
      <c r="H76" s="16"/>
      <c r="I76" s="16"/>
      <c r="J76" s="7"/>
      <c r="K76" s="7"/>
      <c r="L76" s="1"/>
      <c r="M76" s="3" t="s">
        <v>196</v>
      </c>
      <c r="N76" s="4" t="s">
        <v>197</v>
      </c>
      <c r="O76" s="5" t="s">
        <v>198</v>
      </c>
    </row>
    <row r="77" spans="1:15" ht="15" x14ac:dyDescent="0.25">
      <c r="A77" s="1"/>
      <c r="B77" s="9">
        <v>611</v>
      </c>
      <c r="C77" s="1"/>
      <c r="D77" s="47" t="s">
        <v>188</v>
      </c>
      <c r="E77" s="18"/>
      <c r="F77" s="19" t="str">
        <f>IF(E77="","×",IF(E77='1m'!E77,"✓","×"))</f>
        <v>×</v>
      </c>
      <c r="G77" s="16"/>
      <c r="H77" s="16"/>
      <c r="I77" s="16"/>
      <c r="J77" s="7"/>
      <c r="K77" s="7"/>
      <c r="L77" s="1"/>
      <c r="M77" s="3" t="s">
        <v>199</v>
      </c>
      <c r="N77" s="4" t="s">
        <v>200</v>
      </c>
      <c r="O77" s="5" t="s">
        <v>201</v>
      </c>
    </row>
    <row r="78" spans="1:15" ht="15" x14ac:dyDescent="0.25">
      <c r="A78" s="1"/>
      <c r="B78" s="9">
        <v>722</v>
      </c>
      <c r="C78" s="1"/>
      <c r="D78" s="47" t="s">
        <v>192</v>
      </c>
      <c r="E78" s="18"/>
      <c r="F78" s="19" t="str">
        <f>IF(E78="","×",IF(E78='1m'!E78,"✓","×"))</f>
        <v>×</v>
      </c>
      <c r="G78" s="16"/>
      <c r="H78" s="16"/>
      <c r="I78" s="16"/>
      <c r="J78" s="7"/>
      <c r="K78" s="7"/>
      <c r="L78" s="1"/>
      <c r="M78" s="3" t="s">
        <v>202</v>
      </c>
      <c r="N78" s="4" t="s">
        <v>203</v>
      </c>
      <c r="O78" s="5" t="s">
        <v>204</v>
      </c>
    </row>
    <row r="79" spans="1:15" ht="15" x14ac:dyDescent="0.25">
      <c r="A79" s="1"/>
      <c r="B79" s="9">
        <v>710</v>
      </c>
      <c r="C79" s="1"/>
      <c r="D79" s="47" t="s">
        <v>205</v>
      </c>
      <c r="E79" s="18"/>
      <c r="F79" s="19" t="str">
        <f>IF(E79="","×",IF(E79='1m'!E79,"✓","×"))</f>
        <v>×</v>
      </c>
      <c r="G79" s="16"/>
      <c r="H79" s="16"/>
      <c r="I79" s="16"/>
      <c r="J79" s="7"/>
      <c r="K79" s="7"/>
      <c r="L79" s="1"/>
      <c r="M79" s="3" t="s">
        <v>206</v>
      </c>
      <c r="N79" s="4" t="s">
        <v>207</v>
      </c>
      <c r="O79" s="5" t="s">
        <v>208</v>
      </c>
    </row>
    <row r="80" spans="1:15" ht="15" x14ac:dyDescent="0.25">
      <c r="A80" s="1"/>
      <c r="B80" s="9">
        <v>676</v>
      </c>
      <c r="C80" s="1"/>
      <c r="D80" s="48" t="s">
        <v>209</v>
      </c>
      <c r="E80" s="18"/>
      <c r="F80" s="19" t="str">
        <f>IF(E80="","×",IF(E80='1m'!E80,"✓","×"))</f>
        <v>×</v>
      </c>
      <c r="G80" s="16"/>
      <c r="H80" s="16"/>
      <c r="I80" s="16"/>
      <c r="J80" s="7"/>
      <c r="K80" s="7"/>
      <c r="L80" s="1"/>
      <c r="M80" s="3" t="s">
        <v>210</v>
      </c>
      <c r="N80" s="4" t="s">
        <v>211</v>
      </c>
      <c r="O80" s="5" t="s">
        <v>212</v>
      </c>
    </row>
    <row r="81" spans="1:15" ht="15" x14ac:dyDescent="0.25">
      <c r="A81" s="1"/>
      <c r="B81" s="9">
        <v>696</v>
      </c>
      <c r="C81" s="1"/>
      <c r="D81" s="1"/>
      <c r="E81" s="1"/>
      <c r="F81" s="16"/>
      <c r="G81" s="16"/>
      <c r="H81" s="16"/>
      <c r="I81" s="16"/>
      <c r="J81" s="7"/>
      <c r="K81" s="7"/>
      <c r="L81" s="1"/>
      <c r="M81" s="3" t="s">
        <v>213</v>
      </c>
      <c r="N81" s="4" t="s">
        <v>214</v>
      </c>
      <c r="O81" s="5" t="s">
        <v>215</v>
      </c>
    </row>
    <row r="82" spans="1:15" ht="15" x14ac:dyDescent="0.25">
      <c r="A82" s="1"/>
      <c r="B82" s="9">
        <v>647</v>
      </c>
      <c r="C82" s="1"/>
      <c r="D82" s="1"/>
      <c r="E82" s="21"/>
      <c r="F82" s="21"/>
      <c r="G82" s="21"/>
      <c r="H82" s="16"/>
      <c r="I82" s="16"/>
      <c r="J82" s="7"/>
      <c r="K82" s="7"/>
      <c r="L82" s="1"/>
      <c r="M82" s="3" t="str">
        <f>IF(T!$D$2=T!$M$2,M81,IF(T!$D$2=T!$N$2,N81,O81))</f>
        <v>The minimum and the maximum  cannot be calculated with the exclusive functions.</v>
      </c>
    </row>
    <row r="83" spans="1:15" ht="15" x14ac:dyDescent="0.25">
      <c r="A83" s="1"/>
      <c r="B83" s="9">
        <v>681</v>
      </c>
      <c r="C83" s="1"/>
      <c r="D83" s="1"/>
      <c r="E83" s="21"/>
      <c r="F83" s="21"/>
      <c r="G83" s="21"/>
      <c r="H83" s="16"/>
      <c r="I83" s="16"/>
      <c r="J83" s="7"/>
      <c r="K83" s="7"/>
      <c r="L83" s="1"/>
      <c r="M83" s="3" t="s">
        <v>216</v>
      </c>
      <c r="N83" s="4" t="s">
        <v>217</v>
      </c>
      <c r="O83" s="5" t="s">
        <v>218</v>
      </c>
    </row>
    <row r="84" spans="1:15" ht="15" x14ac:dyDescent="0.25">
      <c r="A84" s="1"/>
      <c r="B84" s="9">
        <v>646</v>
      </c>
      <c r="C84" s="1"/>
      <c r="D84" s="1"/>
      <c r="E84" s="21"/>
      <c r="F84" s="21"/>
      <c r="G84" s="41"/>
      <c r="H84" s="41"/>
      <c r="I84" s="16"/>
      <c r="J84" s="7"/>
      <c r="K84" s="7"/>
      <c r="L84" s="1"/>
      <c r="M84" s="3" t="str">
        <f>IF(T!$D$2=T!$M$2,M83,IF(T!$D$2=T!$N$2,N83,O83))</f>
        <v>Attention! The variance and the standard deviation are ESTIMATED with not these formulae but with the ones with corrections (i.e. having n–1 instead of n in the denominator).</v>
      </c>
    </row>
    <row r="85" spans="1:15" ht="15" x14ac:dyDescent="0.25">
      <c r="A85" s="1"/>
      <c r="B85" s="9">
        <v>689</v>
      </c>
      <c r="C85" s="1"/>
      <c r="D85" s="1"/>
      <c r="E85" s="21"/>
      <c r="F85" s="21"/>
      <c r="G85" s="21"/>
      <c r="H85" s="21"/>
      <c r="I85" s="16"/>
      <c r="J85" s="7"/>
      <c r="K85" s="7"/>
      <c r="L85" s="1"/>
      <c r="M85" s="3" t="s">
        <v>219</v>
      </c>
      <c r="N85" s="4" t="s">
        <v>220</v>
      </c>
      <c r="O85" s="5" t="s">
        <v>221</v>
      </c>
    </row>
    <row r="86" spans="1:15" ht="15" x14ac:dyDescent="0.25">
      <c r="A86" s="1"/>
      <c r="B86" s="9">
        <v>649</v>
      </c>
      <c r="C86" s="1"/>
      <c r="D86" s="1"/>
      <c r="E86" s="21"/>
      <c r="F86" s="21"/>
      <c r="G86" s="21"/>
      <c r="H86" s="21"/>
      <c r="I86" s="16"/>
      <c r="J86" s="7"/>
      <c r="K86" s="7"/>
      <c r="L86" s="1"/>
      <c r="M86" s="3" t="str">
        <f>IF(T!$D$2=T!$M$2,M85,IF(T!$D$2=T!$N$2,N85,O85))</f>
        <v>When k is changed, the formula in cell G101 gives the k-th moment (around zero) and the one in cell H101 gives the k-th central moment (around the mean).</v>
      </c>
    </row>
    <row r="87" spans="1:15" ht="15" x14ac:dyDescent="0.25">
      <c r="A87" s="1"/>
      <c r="B87" s="9">
        <v>705</v>
      </c>
      <c r="C87" s="1"/>
      <c r="D87" s="1"/>
      <c r="E87" s="21"/>
      <c r="F87" s="21"/>
      <c r="G87" s="21"/>
      <c r="H87" s="21"/>
      <c r="I87" s="16"/>
      <c r="J87" s="7"/>
      <c r="K87" s="7"/>
      <c r="L87" s="1"/>
    </row>
    <row r="88" spans="1:15" ht="15" x14ac:dyDescent="0.25">
      <c r="A88" s="1"/>
      <c r="B88" s="9">
        <v>655</v>
      </c>
      <c r="C88" s="1"/>
      <c r="D88" s="1"/>
      <c r="E88" s="21"/>
      <c r="F88" s="21"/>
      <c r="G88" s="21"/>
      <c r="H88" s="21"/>
      <c r="I88" s="16"/>
      <c r="J88" s="7"/>
      <c r="K88" s="7"/>
      <c r="L88" s="1"/>
    </row>
    <row r="89" spans="1:15" ht="15" x14ac:dyDescent="0.25">
      <c r="A89" s="1"/>
      <c r="B89" s="9">
        <v>678</v>
      </c>
      <c r="C89" s="1"/>
      <c r="D89" s="1"/>
      <c r="E89" s="21"/>
      <c r="F89" s="21"/>
      <c r="G89" s="21"/>
      <c r="H89" s="21"/>
      <c r="I89" s="16"/>
      <c r="J89" s="7"/>
      <c r="K89" s="7"/>
      <c r="L89" s="1"/>
    </row>
    <row r="90" spans="1:15" ht="15" x14ac:dyDescent="0.25">
      <c r="A90" s="1"/>
      <c r="B90" s="9">
        <v>696</v>
      </c>
      <c r="C90" s="1"/>
      <c r="D90" s="1"/>
      <c r="E90" s="1"/>
      <c r="F90" s="16"/>
      <c r="G90" s="16"/>
      <c r="H90" s="16"/>
      <c r="I90" s="16"/>
      <c r="J90" s="7"/>
      <c r="K90" s="7"/>
      <c r="L90" s="1"/>
    </row>
    <row r="91" spans="1:15" ht="15" x14ac:dyDescent="0.25">
      <c r="A91" s="1"/>
      <c r="B91" s="9">
        <v>643</v>
      </c>
      <c r="C91" s="1"/>
      <c r="D91" s="1"/>
      <c r="E91" s="1"/>
      <c r="F91" s="16"/>
      <c r="G91" s="16"/>
      <c r="H91" s="16"/>
      <c r="I91" s="16"/>
      <c r="J91" s="7"/>
      <c r="K91" s="7"/>
      <c r="L91" s="1"/>
    </row>
    <row r="92" spans="1:15" ht="15" x14ac:dyDescent="0.25">
      <c r="A92" s="1"/>
      <c r="B92" s="9">
        <v>709</v>
      </c>
      <c r="C92" s="1"/>
      <c r="D92" s="1"/>
      <c r="E92" s="1"/>
      <c r="F92" s="16"/>
      <c r="G92" s="16"/>
      <c r="H92" s="16"/>
      <c r="I92" s="16"/>
      <c r="J92" s="7"/>
      <c r="K92" s="7"/>
      <c r="L92" s="1"/>
    </row>
    <row r="93" spans="1:15" ht="15" x14ac:dyDescent="0.25">
      <c r="A93" s="1"/>
      <c r="B93" s="9">
        <v>670</v>
      </c>
      <c r="C93" s="1"/>
      <c r="D93" s="1"/>
      <c r="E93" s="1"/>
      <c r="F93" s="16"/>
      <c r="G93" s="16"/>
      <c r="H93" s="16"/>
      <c r="I93" s="16"/>
      <c r="J93" s="7"/>
      <c r="K93" s="7"/>
      <c r="L93" s="1"/>
    </row>
    <row r="94" spans="1:15" ht="15" x14ac:dyDescent="0.25">
      <c r="A94" s="1"/>
      <c r="B94" s="9">
        <v>685</v>
      </c>
      <c r="C94" s="1"/>
      <c r="D94" s="1"/>
      <c r="E94" s="1"/>
      <c r="F94" s="16"/>
      <c r="G94" s="16"/>
      <c r="H94" s="16"/>
      <c r="I94" s="16"/>
      <c r="J94" s="7"/>
      <c r="K94" s="7"/>
      <c r="L94" s="1"/>
    </row>
    <row r="95" spans="1:15" ht="15" x14ac:dyDescent="0.25">
      <c r="A95" s="1"/>
      <c r="B95" s="9">
        <v>625</v>
      </c>
      <c r="C95" s="1"/>
      <c r="D95" s="1"/>
      <c r="E95" s="1"/>
      <c r="F95" s="16"/>
      <c r="G95" s="16"/>
      <c r="H95" s="16"/>
      <c r="I95" s="16"/>
      <c r="J95" s="7"/>
      <c r="K95" s="7"/>
      <c r="L95" s="1"/>
    </row>
    <row r="96" spans="1:15" ht="15" x14ac:dyDescent="0.25">
      <c r="A96" s="1"/>
      <c r="B96" s="9">
        <v>662</v>
      </c>
      <c r="C96" s="1"/>
      <c r="D96" s="1"/>
      <c r="E96" s="1"/>
      <c r="F96" s="16"/>
      <c r="G96" s="16"/>
      <c r="H96" s="16"/>
      <c r="I96" s="16"/>
      <c r="J96" s="7"/>
      <c r="K96" s="7"/>
      <c r="L96" s="1"/>
    </row>
    <row r="97" spans="1:12" ht="15" x14ac:dyDescent="0.25">
      <c r="A97" s="1"/>
      <c r="B97" s="9">
        <v>694</v>
      </c>
      <c r="C97" s="1"/>
      <c r="D97" s="1"/>
      <c r="E97" s="1"/>
      <c r="F97" s="16"/>
      <c r="G97" s="16"/>
      <c r="H97" s="16"/>
      <c r="I97" s="16"/>
      <c r="J97" s="7"/>
      <c r="K97" s="7"/>
      <c r="L97" s="1"/>
    </row>
    <row r="98" spans="1:12" ht="15" x14ac:dyDescent="0.25">
      <c r="A98" s="1"/>
      <c r="B98" s="9">
        <v>690</v>
      </c>
      <c r="C98" s="1"/>
      <c r="D98" s="1"/>
      <c r="E98" s="1"/>
      <c r="F98" s="16"/>
      <c r="G98" s="16"/>
      <c r="H98" s="16"/>
      <c r="I98" s="16"/>
      <c r="J98" s="7"/>
      <c r="K98" s="7"/>
      <c r="L98" s="1"/>
    </row>
    <row r="99" spans="1:12" ht="15" x14ac:dyDescent="0.25">
      <c r="A99" s="1"/>
      <c r="B99" s="9">
        <v>601</v>
      </c>
      <c r="C99" s="1"/>
      <c r="D99" s="1"/>
      <c r="E99" s="1"/>
      <c r="F99" s="16"/>
      <c r="G99" s="16"/>
      <c r="H99" s="16"/>
      <c r="I99" s="16"/>
      <c r="J99" s="7"/>
      <c r="K99" s="7"/>
      <c r="L99" s="1"/>
    </row>
    <row r="100" spans="1:12" ht="15" x14ac:dyDescent="0.25">
      <c r="A100" s="1"/>
      <c r="B100" s="9">
        <v>636</v>
      </c>
      <c r="C100" s="1"/>
      <c r="D100" s="1"/>
      <c r="E100" s="1"/>
      <c r="F100" s="16"/>
      <c r="G100" s="16"/>
      <c r="H100" s="16"/>
      <c r="I100" s="16"/>
      <c r="J100" s="7"/>
      <c r="K100" s="7"/>
      <c r="L100" s="1"/>
    </row>
    <row r="101" spans="1:12" ht="15" x14ac:dyDescent="0.25">
      <c r="A101" s="1"/>
      <c r="B101" s="9">
        <v>662</v>
      </c>
      <c r="C101" s="1"/>
      <c r="D101" s="1"/>
      <c r="E101" s="1"/>
      <c r="F101" s="16"/>
      <c r="G101" s="16"/>
      <c r="H101" s="16"/>
      <c r="I101" s="16"/>
      <c r="J101" s="7"/>
      <c r="K101" s="7"/>
      <c r="L101" s="1"/>
    </row>
    <row r="102" spans="1:12" ht="15" x14ac:dyDescent="0.25">
      <c r="A102" s="1"/>
      <c r="B102" s="9">
        <v>691</v>
      </c>
      <c r="C102" s="1"/>
      <c r="D102" s="1"/>
      <c r="E102" s="1"/>
      <c r="F102" s="16"/>
      <c r="G102" s="16"/>
      <c r="H102" s="16"/>
      <c r="I102" s="16"/>
      <c r="J102" s="7"/>
      <c r="K102" s="7"/>
      <c r="L102" s="1"/>
    </row>
    <row r="103" spans="1:12" ht="15" x14ac:dyDescent="0.25">
      <c r="A103" s="1"/>
      <c r="B103" s="9">
        <v>699</v>
      </c>
      <c r="C103" s="1"/>
      <c r="D103" s="1"/>
      <c r="E103" s="1"/>
      <c r="F103" s="16"/>
      <c r="G103" s="16"/>
      <c r="H103" s="16"/>
      <c r="I103" s="16"/>
      <c r="J103" s="7"/>
      <c r="K103" s="7"/>
      <c r="L103" s="1"/>
    </row>
    <row r="104" spans="1:12" ht="15" x14ac:dyDescent="0.25">
      <c r="A104" s="1"/>
      <c r="B104" s="9">
        <v>684</v>
      </c>
      <c r="C104" s="1"/>
      <c r="D104" s="1"/>
      <c r="E104" s="1"/>
      <c r="F104" s="16"/>
      <c r="G104" s="16"/>
      <c r="H104" s="16"/>
      <c r="I104" s="16"/>
      <c r="J104" s="7"/>
      <c r="K104" s="7"/>
      <c r="L104" s="1"/>
    </row>
    <row r="105" spans="1:12" ht="15" x14ac:dyDescent="0.25">
      <c r="A105" s="1"/>
      <c r="B105" s="9">
        <v>716</v>
      </c>
      <c r="C105" s="1"/>
      <c r="D105" s="1"/>
      <c r="E105" s="1"/>
      <c r="F105" s="16"/>
      <c r="G105" s="16"/>
      <c r="H105" s="16"/>
      <c r="I105" s="16"/>
      <c r="J105" s="7"/>
      <c r="K105" s="7"/>
      <c r="L105" s="1"/>
    </row>
    <row r="106" spans="1:12" ht="15" x14ac:dyDescent="0.25">
      <c r="A106" s="1"/>
      <c r="B106" s="9">
        <v>654</v>
      </c>
      <c r="C106" s="1"/>
      <c r="D106" s="1"/>
      <c r="E106" s="1"/>
      <c r="F106" s="16"/>
      <c r="G106" s="16"/>
      <c r="H106" s="16"/>
      <c r="I106" s="16"/>
      <c r="J106" s="7"/>
      <c r="K106" s="7"/>
      <c r="L106" s="1"/>
    </row>
    <row r="107" spans="1:12" ht="15" x14ac:dyDescent="0.25">
      <c r="A107" s="1"/>
      <c r="B107" s="9">
        <v>598</v>
      </c>
      <c r="C107" s="1"/>
      <c r="D107" s="1"/>
      <c r="E107" s="1"/>
      <c r="F107" s="16"/>
      <c r="G107" s="16"/>
      <c r="H107" s="16"/>
      <c r="I107" s="16"/>
      <c r="J107" s="7"/>
      <c r="K107" s="7"/>
      <c r="L107" s="1"/>
    </row>
    <row r="108" spans="1:12" ht="15" x14ac:dyDescent="0.25">
      <c r="A108" s="1"/>
      <c r="B108" s="9">
        <v>638</v>
      </c>
      <c r="C108" s="1"/>
      <c r="D108" s="1"/>
      <c r="E108" s="1"/>
      <c r="F108" s="16"/>
      <c r="G108" s="16"/>
      <c r="H108" s="16"/>
      <c r="I108" s="16"/>
      <c r="J108" s="7"/>
      <c r="K108" s="7"/>
      <c r="L108" s="1"/>
    </row>
    <row r="109" spans="1:12" ht="15" x14ac:dyDescent="0.25">
      <c r="A109" s="1"/>
      <c r="B109" s="9">
        <v>688</v>
      </c>
      <c r="C109" s="1"/>
      <c r="D109" s="1"/>
      <c r="E109" s="1"/>
      <c r="F109" s="16"/>
      <c r="G109" s="16"/>
      <c r="H109" s="16"/>
      <c r="I109" s="16"/>
      <c r="J109" s="7"/>
      <c r="K109" s="7"/>
      <c r="L109" s="1"/>
    </row>
    <row r="110" spans="1:12" ht="15" x14ac:dyDescent="0.25">
      <c r="A110" s="1"/>
      <c r="B110" s="9">
        <v>638</v>
      </c>
      <c r="C110" s="1"/>
      <c r="D110" s="1"/>
      <c r="E110" s="1"/>
      <c r="F110" s="16"/>
      <c r="G110" s="16"/>
      <c r="H110" s="16"/>
      <c r="I110" s="16"/>
      <c r="J110" s="7"/>
      <c r="K110" s="7"/>
      <c r="L110" s="1"/>
    </row>
    <row r="111" spans="1:12" ht="15" x14ac:dyDescent="0.25">
      <c r="A111" s="1"/>
      <c r="B111" s="9">
        <v>614</v>
      </c>
      <c r="C111" s="1"/>
      <c r="D111" s="1"/>
      <c r="E111" s="1"/>
      <c r="F111" s="16"/>
      <c r="G111" s="16"/>
      <c r="H111" s="16"/>
      <c r="I111" s="16"/>
      <c r="J111" s="7"/>
      <c r="K111" s="7"/>
      <c r="L111" s="1"/>
    </row>
    <row r="112" spans="1:12" ht="15" x14ac:dyDescent="0.25">
      <c r="A112" s="1"/>
      <c r="B112" s="9">
        <v>592</v>
      </c>
      <c r="C112" s="1"/>
      <c r="D112" s="1"/>
      <c r="E112" s="1"/>
      <c r="F112" s="16"/>
      <c r="G112" s="16"/>
      <c r="H112" s="16"/>
      <c r="I112" s="16"/>
      <c r="J112" s="7"/>
      <c r="K112" s="7"/>
      <c r="L112" s="1"/>
    </row>
    <row r="113" spans="1:12" ht="15" x14ac:dyDescent="0.25">
      <c r="A113" s="1"/>
      <c r="B113" s="9">
        <v>613</v>
      </c>
      <c r="C113" s="1"/>
      <c r="D113" s="1"/>
      <c r="E113" s="1"/>
      <c r="F113" s="16"/>
      <c r="G113" s="16"/>
      <c r="H113" s="16"/>
      <c r="I113" s="16"/>
      <c r="J113" s="7"/>
      <c r="K113" s="7"/>
      <c r="L113" s="1"/>
    </row>
    <row r="114" spans="1:12" ht="15" x14ac:dyDescent="0.25">
      <c r="A114" s="1"/>
      <c r="B114" s="9">
        <v>675</v>
      </c>
      <c r="C114" s="1"/>
      <c r="D114" s="1"/>
      <c r="E114" s="1"/>
      <c r="F114" s="16"/>
      <c r="G114" s="16"/>
      <c r="H114" s="16"/>
      <c r="I114" s="16"/>
      <c r="J114" s="7"/>
      <c r="K114" s="7"/>
      <c r="L114" s="1"/>
    </row>
    <row r="115" spans="1:12" ht="15" x14ac:dyDescent="0.25">
      <c r="A115" s="1"/>
      <c r="B115" s="9">
        <v>712</v>
      </c>
      <c r="C115" s="1"/>
      <c r="D115" s="1"/>
      <c r="E115" s="1"/>
      <c r="F115" s="16"/>
      <c r="G115" s="16"/>
      <c r="H115" s="16"/>
      <c r="I115" s="16"/>
      <c r="J115" s="7"/>
      <c r="K115" s="7"/>
      <c r="L115" s="1"/>
    </row>
    <row r="116" spans="1:12" ht="15" x14ac:dyDescent="0.25">
      <c r="A116" s="1"/>
      <c r="B116" s="9">
        <v>676</v>
      </c>
      <c r="C116" s="1"/>
      <c r="D116" s="1"/>
      <c r="E116" s="1"/>
      <c r="F116" s="16"/>
      <c r="G116" s="16"/>
      <c r="H116" s="16"/>
      <c r="I116" s="16"/>
      <c r="J116" s="7"/>
      <c r="K116" s="7"/>
      <c r="L116" s="1"/>
    </row>
    <row r="117" spans="1:12" ht="15" x14ac:dyDescent="0.25">
      <c r="A117" s="1"/>
      <c r="B117" s="9">
        <v>673</v>
      </c>
      <c r="C117" s="1"/>
      <c r="D117" s="1"/>
      <c r="E117" s="1"/>
      <c r="F117" s="16"/>
      <c r="G117" s="16"/>
      <c r="H117" s="16"/>
      <c r="I117" s="16"/>
      <c r="J117" s="7"/>
      <c r="K117" s="7"/>
      <c r="L117" s="1"/>
    </row>
    <row r="118" spans="1:12" ht="15" x14ac:dyDescent="0.25">
      <c r="A118" s="1"/>
      <c r="B118" s="9">
        <v>642</v>
      </c>
      <c r="C118" s="1"/>
      <c r="D118" s="1"/>
      <c r="E118" s="1"/>
      <c r="F118" s="16"/>
      <c r="G118" s="16"/>
      <c r="H118" s="16"/>
      <c r="I118" s="16"/>
      <c r="J118" s="7"/>
      <c r="K118" s="7"/>
      <c r="L118" s="1"/>
    </row>
    <row r="119" spans="1:12" ht="15" x14ac:dyDescent="0.25">
      <c r="A119" s="1"/>
      <c r="B119" s="9">
        <v>699</v>
      </c>
      <c r="C119" s="1"/>
      <c r="D119" s="1"/>
      <c r="E119" s="1"/>
      <c r="F119" s="16"/>
      <c r="G119" s="16"/>
      <c r="H119" s="16"/>
      <c r="I119" s="16"/>
      <c r="J119" s="7"/>
      <c r="K119" s="7"/>
      <c r="L119" s="1"/>
    </row>
    <row r="120" spans="1:12" ht="15" x14ac:dyDescent="0.25">
      <c r="A120" s="1"/>
      <c r="B120" s="9">
        <v>629</v>
      </c>
      <c r="C120" s="1"/>
      <c r="D120" s="1"/>
      <c r="E120" s="1"/>
      <c r="F120" s="16"/>
      <c r="G120" s="16"/>
      <c r="H120" s="16"/>
      <c r="I120" s="16"/>
      <c r="J120" s="7"/>
      <c r="K120" s="7"/>
      <c r="L120" s="1"/>
    </row>
    <row r="121" spans="1:12" ht="15" x14ac:dyDescent="0.25">
      <c r="A121" s="1"/>
      <c r="B121" s="9">
        <v>624</v>
      </c>
      <c r="C121" s="1"/>
      <c r="D121" s="1"/>
      <c r="E121" s="1"/>
      <c r="F121" s="16"/>
      <c r="G121" s="16"/>
      <c r="H121" s="16"/>
      <c r="I121" s="16"/>
      <c r="J121" s="7"/>
      <c r="K121" s="7"/>
      <c r="L121" s="1"/>
    </row>
    <row r="122" spans="1:12" ht="15" x14ac:dyDescent="0.25">
      <c r="A122" s="1"/>
      <c r="B122" s="9">
        <v>628</v>
      </c>
      <c r="C122" s="1"/>
      <c r="D122" s="1"/>
      <c r="E122" s="1"/>
      <c r="F122" s="16"/>
      <c r="G122" s="16"/>
      <c r="H122" s="16"/>
      <c r="I122" s="16"/>
      <c r="J122" s="7"/>
      <c r="K122" s="7"/>
      <c r="L122" s="1"/>
    </row>
    <row r="123" spans="1:12" ht="15" x14ac:dyDescent="0.25">
      <c r="A123" s="1"/>
      <c r="B123" s="9">
        <v>645</v>
      </c>
      <c r="C123" s="1"/>
      <c r="D123" s="1"/>
      <c r="E123" s="1"/>
      <c r="F123" s="16"/>
      <c r="G123" s="16"/>
      <c r="H123" s="16"/>
      <c r="I123" s="16"/>
      <c r="J123" s="7"/>
      <c r="K123" s="7"/>
      <c r="L123" s="1"/>
    </row>
    <row r="124" spans="1:12" ht="15" x14ac:dyDescent="0.25">
      <c r="A124" s="1"/>
      <c r="B124" s="9">
        <v>605</v>
      </c>
      <c r="C124" s="1"/>
      <c r="D124" s="1"/>
      <c r="E124" s="1"/>
      <c r="F124" s="16"/>
      <c r="G124" s="16"/>
      <c r="H124" s="16"/>
      <c r="I124" s="16"/>
      <c r="J124" s="7"/>
      <c r="K124" s="7"/>
      <c r="L124" s="1"/>
    </row>
    <row r="125" spans="1:12" ht="15" x14ac:dyDescent="0.25">
      <c r="A125" s="1"/>
      <c r="B125" s="9">
        <v>670</v>
      </c>
      <c r="C125" s="1"/>
      <c r="D125" s="1"/>
      <c r="E125" s="1"/>
      <c r="F125" s="16"/>
      <c r="G125" s="16"/>
      <c r="H125" s="16"/>
      <c r="I125" s="16"/>
      <c r="J125" s="7"/>
      <c r="K125" s="7"/>
      <c r="L125" s="1"/>
    </row>
    <row r="126" spans="1:12" ht="15" x14ac:dyDescent="0.25">
      <c r="A126" s="1"/>
      <c r="B126" s="9">
        <v>680</v>
      </c>
      <c r="C126" s="1"/>
      <c r="D126" s="1"/>
      <c r="E126" s="1"/>
      <c r="F126" s="16"/>
      <c r="G126" s="16"/>
      <c r="H126" s="16"/>
      <c r="I126" s="16"/>
      <c r="J126" s="7"/>
      <c r="K126" s="7"/>
      <c r="L126" s="1"/>
    </row>
    <row r="127" spans="1:12" ht="15" x14ac:dyDescent="0.25">
      <c r="A127" s="1"/>
      <c r="B127" s="9">
        <v>607</v>
      </c>
      <c r="C127" s="1"/>
      <c r="D127" s="1"/>
      <c r="E127" s="1"/>
      <c r="F127" s="16"/>
      <c r="G127" s="16"/>
      <c r="H127" s="16"/>
      <c r="I127" s="16"/>
      <c r="J127" s="7"/>
      <c r="K127" s="7"/>
      <c r="L127" s="1"/>
    </row>
    <row r="128" spans="1:12" ht="15" x14ac:dyDescent="0.25">
      <c r="A128" s="1"/>
      <c r="B128" s="9">
        <v>646</v>
      </c>
      <c r="C128" s="1"/>
      <c r="D128" s="1"/>
      <c r="E128" s="1"/>
      <c r="F128" s="16"/>
      <c r="G128" s="16"/>
      <c r="H128" s="16"/>
      <c r="I128" s="16"/>
      <c r="J128" s="7"/>
      <c r="K128" s="7"/>
      <c r="L128" s="1"/>
    </row>
    <row r="129" spans="1:12" ht="15" x14ac:dyDescent="0.25">
      <c r="A129" s="1"/>
      <c r="B129" s="9">
        <v>651</v>
      </c>
      <c r="C129" s="1"/>
      <c r="D129" s="1"/>
      <c r="E129" s="1"/>
      <c r="F129" s="16"/>
      <c r="G129" s="16"/>
      <c r="H129" s="16"/>
      <c r="I129" s="16"/>
      <c r="J129" s="7"/>
      <c r="K129" s="7"/>
      <c r="L129" s="1"/>
    </row>
    <row r="130" spans="1:12" ht="15" x14ac:dyDescent="0.25">
      <c r="A130" s="1"/>
      <c r="B130" s="9">
        <v>684</v>
      </c>
      <c r="C130" s="1"/>
      <c r="D130" s="1"/>
      <c r="E130" s="1"/>
      <c r="F130" s="16"/>
      <c r="G130" s="16"/>
      <c r="H130" s="16"/>
      <c r="I130" s="16"/>
      <c r="J130" s="7"/>
      <c r="K130" s="7"/>
      <c r="L130" s="1"/>
    </row>
    <row r="131" spans="1:12" ht="15" x14ac:dyDescent="0.25">
      <c r="A131" s="1"/>
      <c r="B131" s="9">
        <v>671</v>
      </c>
      <c r="C131" s="1"/>
      <c r="D131" s="1"/>
      <c r="E131" s="1"/>
      <c r="F131" s="16"/>
      <c r="G131" s="16"/>
      <c r="H131" s="16"/>
      <c r="I131" s="16"/>
      <c r="J131" s="7"/>
      <c r="K131" s="7"/>
      <c r="L131" s="1"/>
    </row>
    <row r="132" spans="1:12" ht="15" x14ac:dyDescent="0.25">
      <c r="A132" s="1"/>
      <c r="B132" s="9">
        <v>560</v>
      </c>
      <c r="C132" s="1"/>
      <c r="D132" s="1"/>
      <c r="E132" s="1"/>
      <c r="F132" s="16"/>
      <c r="G132" s="16"/>
      <c r="H132" s="16"/>
      <c r="I132" s="16"/>
      <c r="J132" s="7"/>
      <c r="K132" s="7"/>
      <c r="L132" s="1"/>
    </row>
    <row r="133" spans="1:12" ht="15" x14ac:dyDescent="0.25">
      <c r="A133" s="1"/>
      <c r="B133" s="9">
        <v>684</v>
      </c>
      <c r="C133" s="1"/>
      <c r="D133" s="1"/>
      <c r="E133" s="1"/>
      <c r="F133" s="16"/>
      <c r="G133" s="16"/>
      <c r="H133" s="16"/>
      <c r="I133" s="16"/>
      <c r="J133" s="7"/>
      <c r="K133" s="7"/>
      <c r="L133" s="1"/>
    </row>
    <row r="134" spans="1:12" ht="15" x14ac:dyDescent="0.25">
      <c r="A134" s="1"/>
      <c r="B134" s="9">
        <v>647</v>
      </c>
      <c r="C134" s="1"/>
      <c r="D134" s="1"/>
      <c r="E134" s="1"/>
      <c r="F134" s="16"/>
      <c r="G134" s="16"/>
      <c r="H134" s="16"/>
      <c r="I134" s="16"/>
      <c r="J134" s="7"/>
      <c r="K134" s="7"/>
      <c r="L134" s="1"/>
    </row>
    <row r="135" spans="1:12" ht="15" x14ac:dyDescent="0.25">
      <c r="A135" s="1"/>
      <c r="B135" s="9">
        <v>634</v>
      </c>
      <c r="C135" s="1"/>
      <c r="D135" s="1"/>
      <c r="E135" s="1"/>
      <c r="F135" s="16"/>
      <c r="G135" s="16"/>
      <c r="H135" s="16"/>
      <c r="I135" s="16"/>
      <c r="J135" s="7"/>
      <c r="K135" s="7"/>
      <c r="L135" s="1"/>
    </row>
    <row r="136" spans="1:12" ht="15" x14ac:dyDescent="0.25">
      <c r="A136" s="1"/>
      <c r="B136" s="9">
        <v>653</v>
      </c>
      <c r="C136" s="1"/>
      <c r="D136" s="1"/>
      <c r="E136" s="1"/>
      <c r="F136" s="16"/>
      <c r="G136" s="16"/>
      <c r="H136" s="16"/>
      <c r="I136" s="16"/>
      <c r="J136" s="7"/>
      <c r="K136" s="7"/>
      <c r="L136" s="1"/>
    </row>
    <row r="137" spans="1:12" ht="15" x14ac:dyDescent="0.25">
      <c r="A137" s="1"/>
      <c r="B137" s="9">
        <v>641</v>
      </c>
      <c r="C137" s="1"/>
      <c r="D137" s="1"/>
      <c r="E137" s="1"/>
      <c r="F137" s="16"/>
      <c r="G137" s="16"/>
      <c r="H137" s="16"/>
      <c r="I137" s="16"/>
      <c r="J137" s="7"/>
      <c r="K137" s="7"/>
      <c r="L137" s="1"/>
    </row>
    <row r="138" spans="1:12" ht="15" x14ac:dyDescent="0.25">
      <c r="A138" s="1"/>
      <c r="B138" s="9">
        <v>664</v>
      </c>
      <c r="C138" s="1"/>
      <c r="D138" s="1"/>
      <c r="E138" s="1"/>
      <c r="F138" s="16"/>
      <c r="G138" s="16"/>
      <c r="H138" s="16"/>
      <c r="I138" s="16"/>
      <c r="J138" s="7"/>
      <c r="K138" s="7"/>
      <c r="L138" s="1"/>
    </row>
    <row r="139" spans="1:12" ht="15" x14ac:dyDescent="0.25">
      <c r="A139" s="1"/>
      <c r="B139" s="9">
        <v>650</v>
      </c>
      <c r="C139" s="1"/>
      <c r="D139" s="1"/>
      <c r="E139" s="1"/>
      <c r="F139" s="16"/>
      <c r="G139" s="16"/>
      <c r="H139" s="16"/>
      <c r="I139" s="16"/>
      <c r="J139" s="7"/>
      <c r="K139" s="7"/>
      <c r="L139" s="1"/>
    </row>
    <row r="140" spans="1:12" ht="15" x14ac:dyDescent="0.25">
      <c r="A140" s="1"/>
      <c r="B140" s="9">
        <v>631</v>
      </c>
      <c r="C140" s="1"/>
      <c r="D140" s="1"/>
      <c r="E140" s="1"/>
      <c r="F140" s="16"/>
      <c r="G140" s="16"/>
      <c r="H140" s="16"/>
      <c r="I140" s="16"/>
      <c r="J140" s="7"/>
      <c r="K140" s="7"/>
      <c r="L140" s="1"/>
    </row>
    <row r="141" spans="1:12" ht="15" x14ac:dyDescent="0.25">
      <c r="A141" s="1"/>
      <c r="B141" s="9">
        <v>622</v>
      </c>
      <c r="C141" s="1"/>
      <c r="D141" s="1"/>
      <c r="E141" s="1"/>
      <c r="F141" s="16"/>
      <c r="G141" s="16"/>
      <c r="H141" s="16"/>
      <c r="I141" s="16"/>
      <c r="J141" s="7"/>
      <c r="K141" s="7"/>
      <c r="L141" s="1"/>
    </row>
    <row r="142" spans="1:12" ht="15" x14ac:dyDescent="0.25">
      <c r="A142" s="1"/>
      <c r="B142" s="9">
        <v>650</v>
      </c>
      <c r="C142" s="1"/>
      <c r="D142" s="1"/>
      <c r="E142" s="1"/>
      <c r="F142" s="16"/>
      <c r="G142" s="16"/>
      <c r="H142" s="16"/>
      <c r="I142" s="16"/>
      <c r="J142" s="7"/>
      <c r="K142" s="7"/>
      <c r="L142" s="1"/>
    </row>
    <row r="143" spans="1:12" ht="15" x14ac:dyDescent="0.25">
      <c r="A143" s="1"/>
      <c r="B143" s="9">
        <v>659</v>
      </c>
      <c r="C143" s="1"/>
      <c r="D143" s="1"/>
      <c r="E143" s="1"/>
      <c r="F143" s="16"/>
      <c r="G143" s="16"/>
      <c r="H143" s="16"/>
      <c r="I143" s="16"/>
      <c r="J143" s="7"/>
      <c r="K143" s="7"/>
      <c r="L143" s="1"/>
    </row>
    <row r="144" spans="1:12" ht="15" x14ac:dyDescent="0.25">
      <c r="A144" s="1"/>
      <c r="B144" s="9">
        <v>632</v>
      </c>
      <c r="C144" s="1"/>
      <c r="D144" s="1"/>
      <c r="E144" s="1"/>
      <c r="F144" s="16"/>
      <c r="G144" s="16"/>
      <c r="H144" s="16"/>
      <c r="I144" s="16"/>
      <c r="J144" s="7"/>
      <c r="K144" s="7"/>
      <c r="L144" s="1"/>
    </row>
    <row r="145" spans="1:12" ht="15" x14ac:dyDescent="0.25">
      <c r="A145" s="1"/>
      <c r="B145" s="9">
        <v>701</v>
      </c>
      <c r="C145" s="1"/>
      <c r="D145" s="1"/>
      <c r="E145" s="1"/>
      <c r="F145" s="16"/>
      <c r="G145" s="16"/>
      <c r="H145" s="16"/>
      <c r="I145" s="16"/>
      <c r="J145" s="7"/>
      <c r="K145" s="7"/>
      <c r="L145" s="1"/>
    </row>
    <row r="146" spans="1:12" ht="15" x14ac:dyDescent="0.25">
      <c r="A146" s="1"/>
      <c r="B146" s="9">
        <v>698</v>
      </c>
      <c r="C146" s="1"/>
      <c r="D146" s="1"/>
      <c r="E146" s="1"/>
      <c r="F146" s="16"/>
      <c r="G146" s="16"/>
      <c r="H146" s="16"/>
      <c r="I146" s="16"/>
      <c r="J146" s="7"/>
      <c r="K146" s="7"/>
      <c r="L146" s="1"/>
    </row>
    <row r="147" spans="1:12" ht="15" x14ac:dyDescent="0.25">
      <c r="A147" s="1"/>
      <c r="B147" s="9">
        <v>633</v>
      </c>
      <c r="C147" s="1"/>
      <c r="D147" s="1"/>
      <c r="E147" s="1"/>
      <c r="F147" s="16"/>
      <c r="G147" s="16"/>
      <c r="H147" s="16"/>
      <c r="I147" s="16"/>
      <c r="J147" s="7"/>
      <c r="K147" s="7"/>
      <c r="L147" s="1"/>
    </row>
    <row r="148" spans="1:12" ht="15" x14ac:dyDescent="0.25">
      <c r="A148" s="1"/>
      <c r="B148" s="9">
        <v>610</v>
      </c>
      <c r="C148" s="1"/>
      <c r="D148" s="1"/>
      <c r="E148" s="1"/>
      <c r="F148" s="16"/>
      <c r="G148" s="16"/>
      <c r="H148" s="16"/>
      <c r="I148" s="16"/>
      <c r="J148" s="7"/>
      <c r="K148" s="7"/>
      <c r="L148" s="1"/>
    </row>
    <row r="149" spans="1:12" ht="15" x14ac:dyDescent="0.25">
      <c r="A149" s="1"/>
      <c r="B149" s="9">
        <v>637</v>
      </c>
      <c r="C149" s="1"/>
      <c r="D149" s="1"/>
      <c r="E149" s="1"/>
      <c r="F149" s="16"/>
      <c r="G149" s="16"/>
      <c r="H149" s="16"/>
      <c r="I149" s="16"/>
      <c r="J149" s="7"/>
      <c r="K149" s="7"/>
      <c r="L149" s="1"/>
    </row>
    <row r="150" spans="1:12" ht="15" x14ac:dyDescent="0.25">
      <c r="A150" s="1"/>
      <c r="B150" s="9">
        <v>705</v>
      </c>
      <c r="C150" s="1"/>
      <c r="D150" s="1"/>
      <c r="E150" s="1"/>
      <c r="F150" s="16"/>
      <c r="G150" s="16"/>
      <c r="H150" s="16"/>
      <c r="I150" s="16"/>
      <c r="J150" s="7"/>
      <c r="K150" s="7"/>
      <c r="L150" s="1"/>
    </row>
    <row r="151" spans="1:12" ht="15" x14ac:dyDescent="0.25">
      <c r="A151" s="1"/>
      <c r="B151" s="9">
        <v>663</v>
      </c>
      <c r="C151" s="1"/>
      <c r="D151" s="1"/>
      <c r="E151" s="1"/>
      <c r="F151" s="16"/>
      <c r="G151" s="16"/>
      <c r="H151" s="16"/>
      <c r="I151" s="16"/>
      <c r="J151" s="7"/>
      <c r="K151" s="7"/>
      <c r="L151" s="1"/>
    </row>
    <row r="152" spans="1:12" ht="15" x14ac:dyDescent="0.25">
      <c r="A152" s="1"/>
      <c r="B152" s="9">
        <v>617</v>
      </c>
      <c r="C152" s="1"/>
      <c r="D152" s="1"/>
      <c r="E152" s="1"/>
      <c r="F152" s="16"/>
      <c r="G152" s="16"/>
      <c r="H152" s="16"/>
      <c r="I152" s="16"/>
      <c r="J152" s="7"/>
      <c r="K152" s="7"/>
      <c r="L152" s="1"/>
    </row>
    <row r="153" spans="1:12" ht="15" x14ac:dyDescent="0.25">
      <c r="A153" s="1"/>
      <c r="B153" s="9">
        <v>636</v>
      </c>
      <c r="C153" s="1"/>
      <c r="D153" s="1"/>
      <c r="E153" s="1"/>
      <c r="F153" s="16"/>
      <c r="G153" s="16"/>
      <c r="H153" s="16"/>
      <c r="I153" s="16"/>
      <c r="J153" s="7"/>
      <c r="K153" s="7"/>
      <c r="L153" s="1"/>
    </row>
    <row r="154" spans="1:12" ht="15" x14ac:dyDescent="0.25">
      <c r="A154" s="1"/>
      <c r="B154" s="9">
        <v>598</v>
      </c>
      <c r="C154" s="1"/>
      <c r="D154" s="1"/>
      <c r="E154" s="1"/>
      <c r="F154" s="16"/>
      <c r="G154" s="16"/>
      <c r="H154" s="16"/>
      <c r="I154" s="16"/>
      <c r="J154" s="7"/>
      <c r="K154" s="7"/>
      <c r="L154" s="1"/>
    </row>
    <row r="155" spans="1:12" ht="15" x14ac:dyDescent="0.25">
      <c r="A155" s="1"/>
      <c r="B155" s="9">
        <v>627</v>
      </c>
      <c r="C155" s="1"/>
      <c r="D155" s="1"/>
      <c r="E155" s="1"/>
      <c r="F155" s="16"/>
      <c r="G155" s="16"/>
      <c r="H155" s="16"/>
      <c r="I155" s="16"/>
      <c r="J155" s="7"/>
      <c r="K155" s="7"/>
      <c r="L155" s="1"/>
    </row>
    <row r="156" spans="1:12" ht="15" x14ac:dyDescent="0.25">
      <c r="A156" s="1"/>
      <c r="B156" s="9">
        <v>672</v>
      </c>
      <c r="C156" s="1"/>
      <c r="D156" s="1"/>
      <c r="E156" s="1"/>
      <c r="F156" s="16"/>
      <c r="G156" s="16"/>
      <c r="H156" s="16"/>
      <c r="I156" s="16"/>
      <c r="J156" s="7"/>
      <c r="K156" s="7"/>
      <c r="L156" s="1"/>
    </row>
    <row r="157" spans="1:12" ht="15" x14ac:dyDescent="0.25">
      <c r="A157" s="1"/>
      <c r="B157" s="9">
        <v>669</v>
      </c>
      <c r="C157" s="1"/>
      <c r="D157" s="1"/>
      <c r="E157" s="1"/>
      <c r="F157" s="16"/>
      <c r="G157" s="16"/>
      <c r="H157" s="16"/>
      <c r="I157" s="16"/>
      <c r="J157" s="7"/>
      <c r="K157" s="7"/>
      <c r="L157" s="1"/>
    </row>
    <row r="158" spans="1:12" ht="15" x14ac:dyDescent="0.25">
      <c r="A158" s="1"/>
      <c r="B158" s="9">
        <v>649</v>
      </c>
      <c r="C158" s="1"/>
      <c r="D158" s="1"/>
      <c r="E158" s="1"/>
      <c r="F158" s="16"/>
      <c r="G158" s="16"/>
      <c r="H158" s="16"/>
      <c r="I158" s="16"/>
      <c r="J158" s="7"/>
      <c r="K158" s="7"/>
      <c r="L158" s="1"/>
    </row>
    <row r="159" spans="1:12" ht="15" x14ac:dyDescent="0.25">
      <c r="A159" s="1"/>
      <c r="B159" s="9">
        <v>646</v>
      </c>
      <c r="C159" s="1"/>
      <c r="D159" s="1"/>
      <c r="E159" s="1"/>
      <c r="F159" s="16"/>
      <c r="G159" s="16"/>
      <c r="H159" s="16"/>
      <c r="I159" s="16"/>
      <c r="J159" s="7"/>
      <c r="K159" s="7"/>
      <c r="L159" s="1"/>
    </row>
    <row r="160" spans="1:12" ht="15" x14ac:dyDescent="0.25">
      <c r="A160" s="1"/>
      <c r="B160" s="9">
        <v>604</v>
      </c>
      <c r="C160" s="1"/>
      <c r="D160" s="1"/>
      <c r="E160" s="1"/>
      <c r="F160" s="16"/>
      <c r="G160" s="16"/>
      <c r="H160" s="16"/>
      <c r="I160" s="16"/>
      <c r="J160" s="7"/>
      <c r="K160" s="7"/>
      <c r="L160" s="1"/>
    </row>
    <row r="161" spans="1:12" ht="15" x14ac:dyDescent="0.25">
      <c r="A161" s="1"/>
      <c r="B161" s="9">
        <v>622</v>
      </c>
      <c r="C161" s="1"/>
      <c r="D161" s="1"/>
      <c r="E161" s="1"/>
      <c r="F161" s="16"/>
      <c r="G161" s="16"/>
      <c r="H161" s="16"/>
      <c r="I161" s="16"/>
      <c r="J161" s="7"/>
      <c r="K161" s="7"/>
      <c r="L161" s="1"/>
    </row>
    <row r="162" spans="1:12" ht="15" x14ac:dyDescent="0.25">
      <c r="A162" s="1"/>
      <c r="B162" s="9">
        <v>642</v>
      </c>
      <c r="C162" s="1"/>
      <c r="D162" s="1"/>
      <c r="E162" s="1"/>
      <c r="F162" s="16"/>
      <c r="G162" s="16"/>
      <c r="H162" s="16"/>
      <c r="I162" s="16"/>
      <c r="J162" s="7"/>
      <c r="K162" s="7"/>
      <c r="L162" s="1"/>
    </row>
    <row r="163" spans="1:12" ht="15" x14ac:dyDescent="0.25">
      <c r="A163" s="1"/>
      <c r="B163" s="9">
        <v>651</v>
      </c>
      <c r="C163" s="1"/>
      <c r="D163" s="1"/>
      <c r="E163" s="1"/>
      <c r="F163" s="16"/>
      <c r="G163" s="16"/>
      <c r="H163" s="16"/>
      <c r="I163" s="16"/>
      <c r="J163" s="7"/>
      <c r="K163" s="7"/>
      <c r="L163" s="1"/>
    </row>
    <row r="164" spans="1:12" ht="15" x14ac:dyDescent="0.25">
      <c r="A164" s="1"/>
      <c r="B164" s="9">
        <v>611</v>
      </c>
      <c r="C164" s="1"/>
      <c r="D164" s="1"/>
      <c r="E164" s="1"/>
      <c r="F164" s="16"/>
      <c r="G164" s="16"/>
      <c r="H164" s="16"/>
      <c r="I164" s="16"/>
      <c r="J164" s="7"/>
      <c r="K164" s="7"/>
      <c r="L164" s="1"/>
    </row>
    <row r="165" spans="1:12" ht="15" x14ac:dyDescent="0.25">
      <c r="A165" s="1"/>
      <c r="B165" s="9">
        <v>734</v>
      </c>
      <c r="C165" s="1"/>
      <c r="D165" s="1"/>
      <c r="E165" s="1"/>
      <c r="F165" s="16"/>
      <c r="G165" s="16"/>
      <c r="H165" s="16"/>
      <c r="I165" s="16"/>
      <c r="J165" s="7"/>
      <c r="K165" s="7"/>
      <c r="L165" s="1"/>
    </row>
    <row r="166" spans="1:12" ht="15" x14ac:dyDescent="0.25">
      <c r="A166" s="1"/>
      <c r="B166" s="9">
        <v>615</v>
      </c>
      <c r="C166" s="1"/>
      <c r="D166" s="1"/>
      <c r="E166" s="1"/>
      <c r="F166" s="16"/>
      <c r="G166" s="16"/>
      <c r="H166" s="16"/>
      <c r="I166" s="16"/>
      <c r="J166" s="7"/>
      <c r="K166" s="7"/>
      <c r="L166" s="1"/>
    </row>
    <row r="167" spans="1:12" ht="15" x14ac:dyDescent="0.25">
      <c r="A167" s="1"/>
      <c r="B167" s="9">
        <v>673</v>
      </c>
      <c r="C167" s="1"/>
      <c r="D167" s="1"/>
      <c r="E167" s="1"/>
      <c r="F167" s="16"/>
      <c r="G167" s="16"/>
      <c r="H167" s="16"/>
      <c r="I167" s="16"/>
      <c r="J167" s="7"/>
      <c r="K167" s="7"/>
      <c r="L167" s="1"/>
    </row>
    <row r="168" spans="1:12" ht="15" x14ac:dyDescent="0.25">
      <c r="A168" s="1"/>
      <c r="B168" s="9">
        <v>539</v>
      </c>
      <c r="C168" s="1"/>
      <c r="D168" s="1"/>
      <c r="E168" s="1"/>
      <c r="F168" s="16"/>
      <c r="G168" s="16"/>
      <c r="H168" s="16"/>
      <c r="I168" s="16"/>
      <c r="J168" s="7"/>
      <c r="K168" s="7"/>
      <c r="L168" s="1"/>
    </row>
    <row r="169" spans="1:12" ht="15" x14ac:dyDescent="0.25">
      <c r="A169" s="1"/>
      <c r="B169" s="9">
        <v>675</v>
      </c>
      <c r="C169" s="1"/>
      <c r="D169" s="1"/>
      <c r="E169" s="1"/>
      <c r="F169" s="16"/>
      <c r="G169" s="16"/>
      <c r="H169" s="16"/>
      <c r="I169" s="16"/>
      <c r="J169" s="7"/>
      <c r="K169" s="7"/>
      <c r="L169" s="1"/>
    </row>
    <row r="170" spans="1:12" ht="15" x14ac:dyDescent="0.25">
      <c r="A170" s="1"/>
      <c r="B170" s="9">
        <v>618</v>
      </c>
      <c r="C170" s="1"/>
      <c r="D170" s="1"/>
      <c r="E170" s="1"/>
      <c r="F170" s="16"/>
      <c r="G170" s="16"/>
      <c r="H170" s="16"/>
      <c r="I170" s="16"/>
      <c r="J170" s="7"/>
      <c r="K170" s="7"/>
      <c r="L170" s="1"/>
    </row>
    <row r="171" spans="1:12" ht="15" x14ac:dyDescent="0.25">
      <c r="A171" s="1"/>
      <c r="B171" s="9">
        <v>744</v>
      </c>
      <c r="C171" s="1"/>
      <c r="D171" s="1"/>
      <c r="E171" s="1"/>
      <c r="F171" s="16"/>
      <c r="G171" s="16"/>
      <c r="H171" s="16"/>
      <c r="I171" s="16"/>
      <c r="J171" s="7"/>
      <c r="K171" s="7"/>
      <c r="L171" s="1"/>
    </row>
    <row r="172" spans="1:12" ht="15" x14ac:dyDescent="0.25">
      <c r="A172" s="1"/>
      <c r="B172" s="9">
        <v>638</v>
      </c>
      <c r="C172" s="1"/>
      <c r="D172" s="1"/>
      <c r="E172" s="1"/>
      <c r="F172" s="16"/>
      <c r="G172" s="16"/>
      <c r="H172" s="16"/>
      <c r="I172" s="16"/>
      <c r="J172" s="7"/>
      <c r="K172" s="7"/>
      <c r="L172" s="1"/>
    </row>
    <row r="173" spans="1:12" ht="15" x14ac:dyDescent="0.25">
      <c r="A173" s="1"/>
      <c r="B173" s="9">
        <v>686</v>
      </c>
      <c r="C173" s="1"/>
      <c r="D173" s="1"/>
      <c r="E173" s="1"/>
      <c r="F173" s="16"/>
      <c r="G173" s="16"/>
      <c r="H173" s="16"/>
      <c r="I173" s="16"/>
      <c r="J173" s="7"/>
      <c r="K173" s="7"/>
      <c r="L173" s="1"/>
    </row>
    <row r="174" spans="1:12" ht="15" x14ac:dyDescent="0.25">
      <c r="A174" s="1"/>
      <c r="B174" s="9">
        <v>638</v>
      </c>
      <c r="C174" s="1"/>
      <c r="D174" s="1"/>
      <c r="E174" s="1"/>
      <c r="F174" s="16"/>
      <c r="G174" s="16"/>
      <c r="H174" s="16"/>
      <c r="I174" s="16"/>
      <c r="J174" s="7"/>
      <c r="K174" s="7"/>
      <c r="L174" s="1"/>
    </row>
    <row r="175" spans="1:12" ht="15" x14ac:dyDescent="0.25">
      <c r="A175" s="1"/>
      <c r="B175" s="9">
        <v>595</v>
      </c>
      <c r="C175" s="1"/>
      <c r="D175" s="1"/>
      <c r="E175" s="1"/>
      <c r="F175" s="16"/>
      <c r="G175" s="16"/>
      <c r="H175" s="16"/>
      <c r="I175" s="16"/>
      <c r="J175" s="7"/>
      <c r="K175" s="7"/>
      <c r="L175" s="1"/>
    </row>
    <row r="176" spans="1:12" ht="15" x14ac:dyDescent="0.25">
      <c r="A176" s="1"/>
      <c r="B176" s="9">
        <v>633</v>
      </c>
      <c r="C176" s="1"/>
      <c r="D176" s="1"/>
      <c r="E176" s="1"/>
      <c r="F176" s="16"/>
      <c r="G176" s="16"/>
      <c r="H176" s="16"/>
      <c r="I176" s="16"/>
      <c r="J176" s="7"/>
      <c r="K176" s="7"/>
      <c r="L176" s="1"/>
    </row>
    <row r="177" spans="1:12" ht="15" x14ac:dyDescent="0.25">
      <c r="A177" s="1"/>
      <c r="B177" s="9">
        <v>569</v>
      </c>
      <c r="C177" s="1"/>
      <c r="D177" s="1"/>
      <c r="E177" s="1"/>
      <c r="F177" s="16"/>
      <c r="G177" s="16"/>
      <c r="H177" s="16"/>
      <c r="I177" s="16"/>
      <c r="J177" s="7"/>
      <c r="K177" s="7"/>
      <c r="L177" s="1"/>
    </row>
    <row r="178" spans="1:12" ht="15" x14ac:dyDescent="0.25">
      <c r="A178" s="1"/>
      <c r="B178" s="9">
        <v>666</v>
      </c>
      <c r="C178" s="1"/>
      <c r="D178" s="1"/>
      <c r="E178" s="1"/>
      <c r="F178" s="16"/>
      <c r="G178" s="16"/>
      <c r="H178" s="16"/>
      <c r="I178" s="16"/>
      <c r="J178" s="7"/>
      <c r="K178" s="7"/>
      <c r="L178" s="1"/>
    </row>
    <row r="179" spans="1:12" ht="15" x14ac:dyDescent="0.25">
      <c r="A179" s="1"/>
      <c r="B179" s="9">
        <v>577</v>
      </c>
      <c r="C179" s="1"/>
      <c r="D179" s="1"/>
      <c r="E179" s="1"/>
      <c r="F179" s="16"/>
      <c r="G179" s="16"/>
      <c r="H179" s="16"/>
      <c r="I179" s="16"/>
      <c r="J179" s="7"/>
      <c r="K179" s="7"/>
      <c r="L179" s="1"/>
    </row>
    <row r="180" spans="1:12" ht="15" x14ac:dyDescent="0.25">
      <c r="A180" s="1"/>
      <c r="B180" s="9">
        <v>631</v>
      </c>
      <c r="C180" s="1"/>
      <c r="D180" s="1"/>
      <c r="E180" s="1"/>
      <c r="F180" s="16"/>
      <c r="G180" s="16"/>
      <c r="H180" s="16"/>
      <c r="I180" s="16"/>
      <c r="J180" s="7"/>
      <c r="K180" s="7"/>
      <c r="L180" s="1"/>
    </row>
    <row r="181" spans="1:12" ht="15" x14ac:dyDescent="0.25">
      <c r="A181" s="1"/>
      <c r="B181" s="9">
        <v>711</v>
      </c>
      <c r="C181" s="1"/>
      <c r="D181" s="1"/>
      <c r="E181" s="1"/>
      <c r="F181" s="16"/>
      <c r="G181" s="16"/>
      <c r="H181" s="16"/>
      <c r="I181" s="16"/>
      <c r="J181" s="7"/>
      <c r="K181" s="7"/>
      <c r="L181" s="1"/>
    </row>
    <row r="182" spans="1:12" ht="15" x14ac:dyDescent="0.25">
      <c r="A182" s="1"/>
      <c r="B182" s="9">
        <v>660</v>
      </c>
      <c r="C182" s="1"/>
      <c r="D182" s="1"/>
      <c r="E182" s="1"/>
      <c r="F182" s="16"/>
      <c r="G182" s="16"/>
      <c r="H182" s="16"/>
      <c r="I182" s="16"/>
      <c r="J182" s="7"/>
      <c r="K182" s="7"/>
      <c r="L182" s="1"/>
    </row>
    <row r="183" spans="1:12" ht="15" x14ac:dyDescent="0.25">
      <c r="A183" s="1"/>
      <c r="B183" s="9">
        <v>656</v>
      </c>
      <c r="C183" s="1"/>
      <c r="D183" s="1"/>
      <c r="E183" s="1"/>
      <c r="F183" s="16"/>
      <c r="G183" s="16"/>
      <c r="H183" s="16"/>
      <c r="I183" s="16"/>
      <c r="J183" s="7"/>
      <c r="K183" s="7"/>
      <c r="L183" s="1"/>
    </row>
    <row r="184" spans="1:12" ht="15" x14ac:dyDescent="0.25">
      <c r="A184" s="1"/>
      <c r="B184" s="9">
        <v>703</v>
      </c>
      <c r="C184" s="1"/>
      <c r="D184" s="1"/>
      <c r="E184" s="1"/>
      <c r="F184" s="16"/>
      <c r="G184" s="16"/>
      <c r="H184" s="16"/>
      <c r="I184" s="16"/>
      <c r="J184" s="7"/>
      <c r="K184" s="7"/>
      <c r="L184" s="1"/>
    </row>
    <row r="185" spans="1:12" ht="15" x14ac:dyDescent="0.25">
      <c r="A185" s="1"/>
      <c r="B185" s="9">
        <v>683</v>
      </c>
      <c r="C185" s="1"/>
      <c r="D185" s="1"/>
      <c r="E185" s="1"/>
      <c r="F185" s="16"/>
      <c r="G185" s="16"/>
      <c r="H185" s="16"/>
      <c r="I185" s="16"/>
      <c r="J185" s="7"/>
      <c r="K185" s="7"/>
      <c r="L185" s="1"/>
    </row>
    <row r="186" spans="1:12" ht="15" x14ac:dyDescent="0.25">
      <c r="A186" s="1"/>
      <c r="B186" s="9">
        <v>667</v>
      </c>
      <c r="C186" s="1"/>
      <c r="D186" s="1"/>
      <c r="E186" s="1"/>
      <c r="F186" s="16"/>
      <c r="G186" s="16"/>
      <c r="H186" s="16"/>
      <c r="I186" s="16"/>
      <c r="J186" s="7"/>
      <c r="K186" s="7"/>
      <c r="L186" s="1"/>
    </row>
    <row r="187" spans="1:12" ht="15" x14ac:dyDescent="0.25">
      <c r="A187" s="1"/>
      <c r="B187" s="9">
        <v>598</v>
      </c>
      <c r="C187" s="1"/>
      <c r="D187" s="1"/>
      <c r="E187" s="1"/>
      <c r="F187" s="16"/>
      <c r="G187" s="16"/>
      <c r="H187" s="16"/>
      <c r="I187" s="16"/>
      <c r="J187" s="7"/>
      <c r="K187" s="7"/>
      <c r="L187" s="1"/>
    </row>
    <row r="188" spans="1:12" ht="15" x14ac:dyDescent="0.25">
      <c r="A188" s="1"/>
      <c r="B188" s="9">
        <v>644</v>
      </c>
      <c r="C188" s="1"/>
      <c r="D188" s="1"/>
      <c r="E188" s="1"/>
      <c r="F188" s="16"/>
      <c r="G188" s="16"/>
      <c r="H188" s="16"/>
      <c r="I188" s="16"/>
      <c r="J188" s="7"/>
      <c r="K188" s="7"/>
      <c r="L188" s="1"/>
    </row>
    <row r="189" spans="1:12" ht="15" x14ac:dyDescent="0.25">
      <c r="A189" s="1"/>
      <c r="B189" s="9">
        <v>643</v>
      </c>
      <c r="C189" s="1"/>
      <c r="D189" s="1"/>
      <c r="E189" s="1"/>
      <c r="F189" s="16"/>
      <c r="G189" s="16"/>
      <c r="H189" s="16"/>
      <c r="I189" s="16"/>
      <c r="J189" s="7"/>
      <c r="K189" s="7"/>
      <c r="L189" s="1"/>
    </row>
    <row r="190" spans="1:12" ht="15" x14ac:dyDescent="0.25">
      <c r="A190" s="1"/>
      <c r="B190" s="9">
        <v>653</v>
      </c>
      <c r="C190" s="1"/>
      <c r="D190" s="1"/>
      <c r="E190" s="1"/>
      <c r="F190" s="16"/>
      <c r="G190" s="16"/>
      <c r="H190" s="16"/>
      <c r="I190" s="16"/>
      <c r="J190" s="7"/>
      <c r="K190" s="7"/>
      <c r="L190" s="1"/>
    </row>
    <row r="191" spans="1:12" ht="15" x14ac:dyDescent="0.25">
      <c r="A191" s="1"/>
      <c r="B191" s="9">
        <v>620</v>
      </c>
      <c r="C191" s="1"/>
      <c r="D191" s="1"/>
      <c r="E191" s="1"/>
      <c r="F191" s="16"/>
      <c r="G191" s="16"/>
      <c r="H191" s="16"/>
      <c r="I191" s="16"/>
      <c r="J191" s="7"/>
      <c r="K191" s="7"/>
      <c r="L191" s="1"/>
    </row>
    <row r="192" spans="1:12" ht="15" x14ac:dyDescent="0.25">
      <c r="A192" s="1"/>
      <c r="B192" s="9">
        <v>687</v>
      </c>
      <c r="C192" s="1"/>
      <c r="D192" s="1"/>
      <c r="E192" s="1"/>
      <c r="F192" s="16"/>
      <c r="G192" s="16"/>
      <c r="H192" s="16"/>
      <c r="I192" s="16"/>
      <c r="J192" s="7"/>
      <c r="K192" s="7"/>
      <c r="L192" s="1"/>
    </row>
    <row r="193" spans="1:12" ht="15" x14ac:dyDescent="0.25">
      <c r="A193" s="1"/>
      <c r="B193" s="9">
        <v>670</v>
      </c>
      <c r="C193" s="1"/>
      <c r="D193" s="1"/>
      <c r="E193" s="1"/>
      <c r="F193" s="16"/>
      <c r="G193" s="16"/>
      <c r="H193" s="16"/>
      <c r="I193" s="16"/>
      <c r="J193" s="7"/>
      <c r="K193" s="7"/>
      <c r="L193" s="1"/>
    </row>
    <row r="194" spans="1:12" ht="15" x14ac:dyDescent="0.25">
      <c r="A194" s="1"/>
      <c r="B194" s="9">
        <v>559</v>
      </c>
      <c r="C194" s="1"/>
      <c r="D194" s="1"/>
      <c r="E194" s="1"/>
      <c r="F194" s="16"/>
      <c r="G194" s="16"/>
      <c r="H194" s="16"/>
      <c r="I194" s="16"/>
      <c r="J194" s="7"/>
      <c r="K194" s="7"/>
      <c r="L194" s="1"/>
    </row>
    <row r="195" spans="1:12" ht="15" x14ac:dyDescent="0.25">
      <c r="A195" s="1"/>
      <c r="B195" s="9">
        <v>677</v>
      </c>
      <c r="C195" s="1"/>
      <c r="D195" s="1"/>
      <c r="E195" s="1"/>
      <c r="F195" s="16"/>
      <c r="G195" s="16"/>
      <c r="H195" s="16"/>
      <c r="I195" s="16"/>
      <c r="J195" s="7"/>
      <c r="K195" s="7"/>
      <c r="L195" s="1"/>
    </row>
    <row r="196" spans="1:12" ht="15" x14ac:dyDescent="0.25">
      <c r="A196" s="1"/>
      <c r="B196" s="9">
        <v>647</v>
      </c>
      <c r="C196" s="1"/>
      <c r="D196" s="1"/>
      <c r="E196" s="1"/>
      <c r="F196" s="16"/>
      <c r="G196" s="16"/>
      <c r="H196" s="16"/>
      <c r="I196" s="16"/>
      <c r="J196" s="7"/>
      <c r="K196" s="7"/>
      <c r="L196" s="1"/>
    </row>
    <row r="197" spans="1:12" ht="15" x14ac:dyDescent="0.25">
      <c r="A197" s="1"/>
      <c r="B197" s="9">
        <v>562</v>
      </c>
      <c r="C197" s="1"/>
      <c r="D197" s="1"/>
      <c r="E197" s="1"/>
      <c r="F197" s="16"/>
      <c r="G197" s="16"/>
      <c r="H197" s="16"/>
      <c r="I197" s="16"/>
      <c r="J197" s="7"/>
      <c r="K197" s="7"/>
      <c r="L197" s="1"/>
    </row>
    <row r="198" spans="1:12" ht="15" x14ac:dyDescent="0.25">
      <c r="A198" s="1"/>
      <c r="B198" s="9">
        <v>641</v>
      </c>
      <c r="C198" s="1"/>
      <c r="D198" s="1"/>
      <c r="E198" s="1"/>
      <c r="F198" s="16"/>
      <c r="G198" s="16"/>
      <c r="H198" s="16"/>
      <c r="I198" s="16"/>
      <c r="J198" s="7"/>
      <c r="K198" s="7"/>
      <c r="L198" s="1"/>
    </row>
    <row r="199" spans="1:12" ht="15" x14ac:dyDescent="0.25">
      <c r="A199" s="1"/>
      <c r="B199" s="9">
        <v>491</v>
      </c>
      <c r="C199" s="1"/>
      <c r="D199" s="1"/>
      <c r="E199" s="1"/>
      <c r="F199" s="16"/>
      <c r="G199" s="16"/>
      <c r="H199" s="16"/>
      <c r="I199" s="16"/>
      <c r="J199" s="7"/>
      <c r="K199" s="7"/>
      <c r="L199" s="1"/>
    </row>
    <row r="200" spans="1:12" ht="15" x14ac:dyDescent="0.25">
      <c r="A200" s="1"/>
      <c r="B200" s="9">
        <v>698</v>
      </c>
      <c r="C200" s="1"/>
      <c r="D200" s="1"/>
      <c r="E200" s="1"/>
      <c r="F200" s="16"/>
      <c r="G200" s="16"/>
      <c r="H200" s="16"/>
      <c r="I200" s="16"/>
      <c r="J200" s="7"/>
      <c r="K200" s="7"/>
      <c r="L200" s="1"/>
    </row>
    <row r="201" spans="1:12" ht="15" x14ac:dyDescent="0.25">
      <c r="A201" s="1"/>
      <c r="B201" s="9">
        <v>700</v>
      </c>
      <c r="C201" s="1"/>
      <c r="D201" s="1"/>
      <c r="E201" s="1"/>
      <c r="F201" s="16"/>
      <c r="G201" s="16"/>
      <c r="H201" s="16"/>
      <c r="I201" s="16"/>
      <c r="J201" s="7"/>
      <c r="K201" s="7"/>
      <c r="L201" s="1"/>
    </row>
    <row r="202" spans="1:12" ht="15" x14ac:dyDescent="0.25">
      <c r="A202" s="1"/>
      <c r="B202" s="49">
        <v>580</v>
      </c>
      <c r="C202" s="1"/>
      <c r="D202" s="1"/>
      <c r="E202" s="1"/>
      <c r="F202" s="16"/>
      <c r="G202" s="16"/>
      <c r="H202" s="16"/>
      <c r="I202" s="16"/>
      <c r="J202" s="7"/>
      <c r="K202" s="7"/>
      <c r="L202" s="1"/>
    </row>
    <row r="203" spans="1:12" ht="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2"/>
      <c r="L203" s="1"/>
    </row>
  </sheetData>
  <mergeCells count="3">
    <mergeCell ref="D2:H2"/>
    <mergeCell ref="D3:H3"/>
    <mergeCell ref="D4:H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03"/>
  <sheetViews>
    <sheetView workbookViewId="0"/>
  </sheetViews>
  <sheetFormatPr defaultColWidth="10.875" defaultRowHeight="14.1" customHeight="1" zeroHeight="1" x14ac:dyDescent="0.25"/>
  <cols>
    <col min="1" max="1" width="2.375" style="3" customWidth="1"/>
    <col min="2" max="2" width="10.875" style="3" customWidth="1"/>
    <col min="3" max="3" width="14.125" style="3" customWidth="1"/>
    <col min="4" max="4" width="33.5" style="3" customWidth="1"/>
    <col min="5" max="7" width="13.375" style="3" customWidth="1"/>
    <col min="8" max="8" width="12.875" style="3" bestFit="1" customWidth="1"/>
    <col min="9" max="9" width="10.875" style="3" customWidth="1"/>
    <col min="10" max="11" width="10.875" style="50" customWidth="1"/>
    <col min="12" max="12" width="10.875" style="3" customWidth="1"/>
    <col min="13" max="13" width="35.875" style="3" customWidth="1"/>
    <col min="14" max="14" width="35.875" style="4" customWidth="1"/>
    <col min="15" max="15" width="35.875" style="5" customWidth="1"/>
    <col min="16" max="16384" width="10.875" style="3"/>
  </cols>
  <sheetData>
    <row r="1" spans="1:15" ht="15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3" t="s">
        <v>0</v>
      </c>
      <c r="N1" s="4" t="s">
        <v>1</v>
      </c>
      <c r="O1" s="5" t="s">
        <v>2</v>
      </c>
    </row>
    <row r="2" spans="1:15" ht="46.5" x14ac:dyDescent="0.35">
      <c r="A2" s="1"/>
      <c r="B2" s="6" t="str">
        <f>IF(T!$D$2=T!$M$2,M3,IF(T!$D$2=T!$N$2,N3,O3))</f>
        <v>albumin concentration (μmol/L)</v>
      </c>
      <c r="C2" s="1"/>
      <c r="D2" s="75" t="str">
        <f>IF(T!$D$2=T!$M$2,M1,IF(T!$D$2=T!$N$2,N1,O1))</f>
        <v>We measured the blood albumin concentration of 200 healthy people. The Values can be found in column "B".</v>
      </c>
      <c r="E2" s="76"/>
      <c r="F2" s="76"/>
      <c r="G2" s="76"/>
      <c r="H2" s="77"/>
      <c r="I2" s="1"/>
      <c r="J2" s="50" t="s">
        <v>222</v>
      </c>
      <c r="K2" s="50" t="s">
        <v>223</v>
      </c>
      <c r="L2" s="1"/>
      <c r="M2" s="3" t="s">
        <v>3</v>
      </c>
      <c r="N2" s="4" t="s">
        <v>4</v>
      </c>
      <c r="O2" s="5" t="s">
        <v>5</v>
      </c>
    </row>
    <row r="3" spans="1:15" ht="15" x14ac:dyDescent="0.25">
      <c r="A3" s="1"/>
      <c r="B3" s="8">
        <v>643</v>
      </c>
      <c r="C3" s="1"/>
      <c r="D3" s="78" t="str">
        <f>IF(T!$D$2=T!$M$2,M2,IF(T!$D$2=T!$N$2,N2,O2))</f>
        <v>Please carry out the descriptive statistical evaluation of the data.</v>
      </c>
      <c r="E3" s="79"/>
      <c r="F3" s="79"/>
      <c r="G3" s="79"/>
      <c r="H3" s="80"/>
      <c r="I3" s="1"/>
      <c r="J3" s="50">
        <f t="shared" ref="J3:J66" si="0">B3^$F$86</f>
        <v>170940075601</v>
      </c>
      <c r="K3" s="50">
        <f t="shared" ref="K3:K66" si="1">(B3-$E$16)^$F$86</f>
        <v>1066.7556185006488</v>
      </c>
      <c r="L3" s="1"/>
      <c r="M3" s="3" t="s">
        <v>6</v>
      </c>
      <c r="N3" s="4" t="s">
        <v>7</v>
      </c>
      <c r="O3" s="5" t="s">
        <v>8</v>
      </c>
    </row>
    <row r="4" spans="1:15" ht="31.5" x14ac:dyDescent="0.35">
      <c r="A4" s="1"/>
      <c r="B4" s="9">
        <v>685</v>
      </c>
      <c r="C4" s="1"/>
      <c r="D4" s="81" t="str">
        <f>IF(T!$D$2=T!$M$2,M4,IF(T!$D$2=T!$N$2,N4,O4))</f>
        <v>Give the asked values in the green cells.</v>
      </c>
      <c r="E4" s="84"/>
      <c r="F4" s="84"/>
      <c r="G4" s="84"/>
      <c r="H4" s="85"/>
      <c r="I4" s="1"/>
      <c r="J4" s="50">
        <f t="shared" si="0"/>
        <v>220172100625</v>
      </c>
      <c r="K4" s="50">
        <f t="shared" si="1"/>
        <v>1733438.7856714944</v>
      </c>
      <c r="L4" s="1"/>
      <c r="M4" s="10" t="s">
        <v>9</v>
      </c>
      <c r="N4" s="11" t="s">
        <v>10</v>
      </c>
      <c r="O4" s="12" t="s">
        <v>11</v>
      </c>
    </row>
    <row r="5" spans="1:15" ht="15" x14ac:dyDescent="0.25">
      <c r="A5" s="1"/>
      <c r="B5" s="9">
        <v>623</v>
      </c>
      <c r="C5" s="1"/>
      <c r="D5" s="1"/>
      <c r="E5" s="1"/>
      <c r="F5" s="1"/>
      <c r="G5" s="1"/>
      <c r="H5" s="1"/>
      <c r="I5" s="1"/>
      <c r="J5" s="50">
        <f t="shared" si="0"/>
        <v>150644120641</v>
      </c>
      <c r="K5" s="50">
        <f t="shared" si="1"/>
        <v>437266.40768850286</v>
      </c>
      <c r="L5" s="1"/>
      <c r="M5" s="3" t="s">
        <v>12</v>
      </c>
      <c r="N5" s="4" t="s">
        <v>13</v>
      </c>
      <c r="O5" s="5" t="s">
        <v>14</v>
      </c>
    </row>
    <row r="6" spans="1:15" ht="15" x14ac:dyDescent="0.25">
      <c r="A6" s="1"/>
      <c r="B6" s="9">
        <v>578</v>
      </c>
      <c r="C6" s="1"/>
      <c r="D6" s="13"/>
      <c r="E6" s="14"/>
      <c r="F6" s="14"/>
      <c r="G6" s="14"/>
      <c r="H6" s="14"/>
      <c r="I6" s="1"/>
      <c r="J6" s="50">
        <f t="shared" si="0"/>
        <v>111612119056</v>
      </c>
      <c r="K6" s="50">
        <f t="shared" si="1"/>
        <v>25006112.623596042</v>
      </c>
      <c r="L6" s="1"/>
      <c r="M6" s="3" t="s">
        <v>15</v>
      </c>
      <c r="N6" s="4" t="s">
        <v>16</v>
      </c>
      <c r="O6" s="5" t="s">
        <v>17</v>
      </c>
    </row>
    <row r="7" spans="1:15" ht="15" x14ac:dyDescent="0.25">
      <c r="A7" s="1"/>
      <c r="B7" s="9">
        <v>622</v>
      </c>
      <c r="C7" s="1"/>
      <c r="D7" s="1"/>
      <c r="E7" s="1"/>
      <c r="F7" s="1"/>
      <c r="G7" s="1"/>
      <c r="H7" s="1"/>
      <c r="I7" s="1"/>
      <c r="J7" s="50">
        <f t="shared" si="0"/>
        <v>149679229456</v>
      </c>
      <c r="K7" s="50">
        <f t="shared" si="1"/>
        <v>509355.16464200313</v>
      </c>
      <c r="L7" s="1"/>
      <c r="M7" s="3" t="s">
        <v>18</v>
      </c>
      <c r="N7" s="4" t="s">
        <v>19</v>
      </c>
      <c r="O7" s="5" t="s">
        <v>20</v>
      </c>
    </row>
    <row r="8" spans="1:15" ht="15" x14ac:dyDescent="0.25">
      <c r="A8" s="1"/>
      <c r="B8" s="9">
        <v>618</v>
      </c>
      <c r="C8" s="1"/>
      <c r="D8" s="17" t="str">
        <f>IF(T!$D$2=T!$M$2,M6,IF(T!$D$2=T!$N$2,N6,O6))</f>
        <v>data count</v>
      </c>
      <c r="E8" s="18">
        <f>COUNT(data)</f>
        <v>200</v>
      </c>
      <c r="F8" s="30"/>
      <c r="G8" s="1"/>
      <c r="H8" s="1"/>
      <c r="I8" s="1"/>
      <c r="J8" s="50">
        <f t="shared" si="0"/>
        <v>145865941776</v>
      </c>
      <c r="K8" s="50">
        <f t="shared" si="1"/>
        <v>890024.73945600435</v>
      </c>
      <c r="L8" s="1"/>
      <c r="M8" s="3" t="s">
        <v>21</v>
      </c>
      <c r="N8" s="4" t="s">
        <v>22</v>
      </c>
      <c r="O8" s="5" t="s">
        <v>23</v>
      </c>
    </row>
    <row r="9" spans="1:15" ht="15" x14ac:dyDescent="0.25">
      <c r="A9" s="1"/>
      <c r="B9" s="9">
        <v>616</v>
      </c>
      <c r="C9" s="1"/>
      <c r="D9" s="20"/>
      <c r="E9" s="1"/>
      <c r="F9" s="30"/>
      <c r="G9" s="1"/>
      <c r="H9" s="1"/>
      <c r="I9" s="1"/>
      <c r="J9" s="50">
        <f t="shared" si="0"/>
        <v>143986855936</v>
      </c>
      <c r="K9" s="50">
        <f t="shared" si="1"/>
        <v>1145480.495063005</v>
      </c>
      <c r="L9" s="1"/>
      <c r="M9" s="3" t="s">
        <v>24</v>
      </c>
      <c r="N9" s="4" t="s">
        <v>25</v>
      </c>
      <c r="O9" s="5" t="s">
        <v>26</v>
      </c>
    </row>
    <row r="10" spans="1:15" ht="15" x14ac:dyDescent="0.25">
      <c r="A10" s="1"/>
      <c r="B10" s="9">
        <v>683</v>
      </c>
      <c r="C10" s="1"/>
      <c r="D10" s="22" t="str">
        <f>IF(T!$D$2=T!$M$2,M7,IF(T!$D$2=T!$N$2,N7,O7))</f>
        <v>1. measures of location</v>
      </c>
      <c r="E10" s="23"/>
      <c r="F10" s="51"/>
      <c r="G10" s="51"/>
      <c r="H10" s="1"/>
      <c r="I10" s="1"/>
      <c r="J10" s="50">
        <f t="shared" si="0"/>
        <v>217611987121</v>
      </c>
      <c r="K10" s="50">
        <f t="shared" si="1"/>
        <v>1381709.0914784954</v>
      </c>
      <c r="L10" s="1"/>
      <c r="M10" s="3" t="s">
        <v>27</v>
      </c>
      <c r="N10" s="4" t="s">
        <v>28</v>
      </c>
      <c r="O10" s="5" t="s">
        <v>29</v>
      </c>
    </row>
    <row r="11" spans="1:15" ht="15" x14ac:dyDescent="0.25">
      <c r="A11" s="1"/>
      <c r="B11" s="9">
        <v>596</v>
      </c>
      <c r="C11" s="1"/>
      <c r="D11" s="1"/>
      <c r="E11" s="1"/>
      <c r="F11" s="1" t="str">
        <f>IF(T!$D$2=T!$M$2,M5,IF(T!$D$2=T!$N$2,N5,O5))</f>
        <v>other culcation options:</v>
      </c>
      <c r="G11" s="1"/>
      <c r="H11" s="1"/>
      <c r="I11" s="1"/>
      <c r="J11" s="50">
        <f t="shared" si="0"/>
        <v>126178406656</v>
      </c>
      <c r="K11" s="50">
        <f t="shared" si="1"/>
        <v>7722125.28513302</v>
      </c>
      <c r="L11" s="1"/>
      <c r="M11" s="3" t="s">
        <v>30</v>
      </c>
      <c r="N11" s="4" t="s">
        <v>31</v>
      </c>
      <c r="O11" s="5" t="s">
        <v>32</v>
      </c>
    </row>
    <row r="12" spans="1:15" ht="15" x14ac:dyDescent="0.25">
      <c r="A12" s="1"/>
      <c r="B12" s="9">
        <v>618</v>
      </c>
      <c r="C12" s="1"/>
      <c r="D12" s="25" t="str">
        <f>IF(T!$D$2=T!$M$2,M8,IF(T!$D$2=T!$N$2,N8,O8))</f>
        <v xml:space="preserve">  1.1. central tendencies</v>
      </c>
      <c r="E12" s="26"/>
      <c r="F12" s="30"/>
      <c r="G12" s="1"/>
      <c r="H12" s="1"/>
      <c r="I12" s="1"/>
      <c r="J12" s="50">
        <f t="shared" si="0"/>
        <v>145865941776</v>
      </c>
      <c r="K12" s="50">
        <f t="shared" si="1"/>
        <v>890024.73945600435</v>
      </c>
      <c r="L12" s="1"/>
      <c r="M12" s="3" t="s">
        <v>33</v>
      </c>
      <c r="N12" s="4" t="s">
        <v>34</v>
      </c>
      <c r="O12" s="5" t="s">
        <v>35</v>
      </c>
    </row>
    <row r="13" spans="1:15" ht="15" x14ac:dyDescent="0.25">
      <c r="A13" s="1"/>
      <c r="B13" s="9">
        <v>685</v>
      </c>
      <c r="C13" s="1"/>
      <c r="D13" s="27" t="str">
        <f>IF(T!$D$2=T!$M$2,M10,IF(T!$D$2=T!$N$2,N10,O10))</f>
        <v xml:space="preserve">    1.1.1. mode(s)</v>
      </c>
      <c r="E13" s="18">
        <f>_xlfn.MODE.SNGL(data)</f>
        <v>685</v>
      </c>
      <c r="F13" s="30">
        <f>MODE(data)</f>
        <v>685</v>
      </c>
      <c r="G13" s="1"/>
      <c r="H13" s="1"/>
      <c r="I13" s="1"/>
      <c r="J13" s="50">
        <f t="shared" si="0"/>
        <v>220172100625</v>
      </c>
      <c r="K13" s="50">
        <f t="shared" si="1"/>
        <v>1733438.7856714944</v>
      </c>
      <c r="L13" s="1"/>
      <c r="M13" s="3" t="s">
        <v>36</v>
      </c>
      <c r="N13" s="4" t="s">
        <v>37</v>
      </c>
      <c r="O13" s="5" t="s">
        <v>38</v>
      </c>
    </row>
    <row r="14" spans="1:15" ht="30" x14ac:dyDescent="0.25">
      <c r="A14" s="1"/>
      <c r="B14" s="9">
        <v>691</v>
      </c>
      <c r="C14" s="1"/>
      <c r="D14" s="28" t="str">
        <f>IF(T!$D$2=T!$M$2,M14,IF(T!$D$2=T!$N$2,N14,O14))</f>
        <v>How many times does the mode (or any of the modes) turn up?</v>
      </c>
      <c r="E14" s="18">
        <f>COUNTIFS(data,E13)</f>
        <v>4</v>
      </c>
      <c r="F14" s="30">
        <f>COUNTIF(data,E13)</f>
        <v>4</v>
      </c>
      <c r="G14" s="1"/>
      <c r="H14" s="1"/>
      <c r="I14" s="1"/>
      <c r="J14" s="50">
        <f t="shared" si="0"/>
        <v>227988105361</v>
      </c>
      <c r="K14" s="50">
        <f t="shared" si="1"/>
        <v>3197019.9010504908</v>
      </c>
      <c r="L14" s="1"/>
      <c r="M14" s="3" t="s">
        <v>39</v>
      </c>
      <c r="N14" s="4" t="s">
        <v>40</v>
      </c>
      <c r="O14" s="5" t="s">
        <v>41</v>
      </c>
    </row>
    <row r="15" spans="1:15" ht="15" x14ac:dyDescent="0.25">
      <c r="A15" s="1"/>
      <c r="B15" s="9">
        <v>629</v>
      </c>
      <c r="C15" s="1"/>
      <c r="D15" s="29" t="str">
        <f>IF(T!$D$2=T!$M$2,M15,IF(T!$D$2=T!$N$2,N15,O15))</f>
        <v xml:space="preserve">    1.1.2. median</v>
      </c>
      <c r="E15" s="18">
        <f>MEDIAN(data)</f>
        <v>649.5</v>
      </c>
      <c r="F15" s="1"/>
      <c r="G15" s="1"/>
      <c r="H15" s="1"/>
      <c r="I15" s="1"/>
      <c r="J15" s="50">
        <f t="shared" si="0"/>
        <v>156531800881</v>
      </c>
      <c r="K15" s="50">
        <f t="shared" si="1"/>
        <v>151073.09466750157</v>
      </c>
      <c r="L15" s="1"/>
      <c r="M15" s="3" t="s">
        <v>42</v>
      </c>
      <c r="N15" s="4" t="s">
        <v>43</v>
      </c>
      <c r="O15" s="5" t="s">
        <v>44</v>
      </c>
    </row>
    <row r="16" spans="1:15" ht="30" x14ac:dyDescent="0.25">
      <c r="A16" s="1"/>
      <c r="B16" s="9">
        <v>654</v>
      </c>
      <c r="C16" s="1"/>
      <c r="D16" s="17" t="str">
        <f>IF(T!$D$2=T!$M$2,M9,IF(T!$D$2=T!$N$2,N9,O9))</f>
        <v xml:space="preserve">    1.1.3. mean (also: arithmetic mean, average)</v>
      </c>
      <c r="E16" s="18">
        <f>AVERAGE(data)</f>
        <v>648.71500000000003</v>
      </c>
      <c r="F16" s="30"/>
      <c r="G16" s="1"/>
      <c r="H16" s="1"/>
      <c r="I16" s="1"/>
      <c r="J16" s="50">
        <f t="shared" si="0"/>
        <v>182940976656</v>
      </c>
      <c r="K16" s="50">
        <f t="shared" si="1"/>
        <v>780.15333000060627</v>
      </c>
      <c r="L16" s="1"/>
      <c r="M16" s="3" t="s">
        <v>45</v>
      </c>
      <c r="N16" s="4" t="s">
        <v>46</v>
      </c>
      <c r="O16" s="5" t="s">
        <v>47</v>
      </c>
    </row>
    <row r="17" spans="1:15" ht="15" x14ac:dyDescent="0.25">
      <c r="A17" s="1"/>
      <c r="B17" s="9">
        <v>693</v>
      </c>
      <c r="C17" s="1"/>
      <c r="D17" s="30"/>
      <c r="E17" s="30"/>
      <c r="F17" s="30"/>
      <c r="G17" s="1"/>
      <c r="H17" s="1"/>
      <c r="I17" s="1"/>
      <c r="J17" s="50">
        <f t="shared" si="0"/>
        <v>230639102001</v>
      </c>
      <c r="K17" s="50">
        <f t="shared" si="1"/>
        <v>3846153.3504434894</v>
      </c>
      <c r="L17" s="1"/>
      <c r="M17" s="3" t="s">
        <v>48</v>
      </c>
      <c r="N17" s="4" t="s">
        <v>49</v>
      </c>
      <c r="O17" s="5" t="s">
        <v>50</v>
      </c>
    </row>
    <row r="18" spans="1:15" ht="15" x14ac:dyDescent="0.25">
      <c r="A18" s="1"/>
      <c r="B18" s="9">
        <v>679</v>
      </c>
      <c r="C18" s="1"/>
      <c r="D18" s="25" t="str">
        <f>IF(T!$D$2=T!$M$2,M19,IF(T!$D$2=T!$N$2,N19,O19))</f>
        <v xml:space="preserve">  1.2. quantiles</v>
      </c>
      <c r="E18" s="26"/>
      <c r="F18" s="30"/>
      <c r="G18" s="30"/>
      <c r="H18" s="1"/>
      <c r="I18" s="1"/>
      <c r="J18" s="50">
        <f t="shared" si="0"/>
        <v>212558803681</v>
      </c>
      <c r="K18" s="50">
        <f t="shared" si="1"/>
        <v>841221.39949249721</v>
      </c>
      <c r="L18" s="1"/>
      <c r="M18" s="3" t="s">
        <v>51</v>
      </c>
      <c r="N18" s="4" t="s">
        <v>52</v>
      </c>
      <c r="O18" s="5" t="s">
        <v>53</v>
      </c>
    </row>
    <row r="19" spans="1:15" ht="15" x14ac:dyDescent="0.25">
      <c r="A19" s="1"/>
      <c r="B19" s="9">
        <v>605</v>
      </c>
      <c r="C19" s="31" t="s">
        <v>54</v>
      </c>
      <c r="D19" s="27" t="str">
        <f>IF(T!$D$2=T!$M$2,M20,IF(T!$D$2=T!$N$2,N20,O20))</f>
        <v xml:space="preserve">    1.2.1. median</v>
      </c>
      <c r="E19" s="32"/>
      <c r="F19" s="30"/>
      <c r="G19" s="30"/>
      <c r="H19" s="1"/>
      <c r="I19" s="1"/>
      <c r="J19" s="50">
        <f t="shared" si="0"/>
        <v>133974300625</v>
      </c>
      <c r="K19" s="50">
        <f t="shared" si="1"/>
        <v>3651925.6819515112</v>
      </c>
      <c r="L19" s="1"/>
      <c r="M19" s="3" t="s">
        <v>55</v>
      </c>
      <c r="N19" s="4" t="s">
        <v>56</v>
      </c>
      <c r="O19" s="5" t="s">
        <v>57</v>
      </c>
    </row>
    <row r="20" spans="1:15" ht="15" x14ac:dyDescent="0.25">
      <c r="A20" s="1"/>
      <c r="B20" s="9">
        <v>618</v>
      </c>
      <c r="C20" s="31"/>
      <c r="D20" s="33" t="str">
        <f>IF(T!$D$2=T!$M$2,M21,IF(T!$D$2=T!$N$2,N21,O21))</f>
        <v>MEDIAN</v>
      </c>
      <c r="E20" s="34">
        <f>MEDIAN(data)</f>
        <v>649.5</v>
      </c>
      <c r="F20" s="13"/>
      <c r="G20" s="13"/>
      <c r="H20" s="1"/>
      <c r="I20" s="1"/>
      <c r="J20" s="50">
        <f t="shared" si="0"/>
        <v>145865941776</v>
      </c>
      <c r="K20" s="50">
        <f t="shared" si="1"/>
        <v>890024.73945600435</v>
      </c>
      <c r="L20" s="1"/>
      <c r="M20" s="3" t="s">
        <v>58</v>
      </c>
      <c r="N20" s="4" t="s">
        <v>59</v>
      </c>
      <c r="O20" s="5" t="s">
        <v>60</v>
      </c>
    </row>
    <row r="21" spans="1:15" ht="15" x14ac:dyDescent="0.25">
      <c r="A21" s="1"/>
      <c r="B21" s="9">
        <v>646</v>
      </c>
      <c r="C21" s="31"/>
      <c r="D21" s="33" t="str">
        <f>IF(T!$D$2=T!$M$2,M22,IF(T!$D$2=T!$N$2,N22,O22))</f>
        <v>QUARTILE</v>
      </c>
      <c r="E21" s="18">
        <f>_xlfn.QUARTILE.INC(data,2)</f>
        <v>649.5</v>
      </c>
      <c r="F21" s="30">
        <f>QUARTILE(data,2)</f>
        <v>649.5</v>
      </c>
      <c r="G21" s="30"/>
      <c r="H21" s="1"/>
      <c r="I21" s="1"/>
      <c r="J21" s="50">
        <f t="shared" si="0"/>
        <v>174152643856</v>
      </c>
      <c r="K21" s="50">
        <f t="shared" si="1"/>
        <v>54.334958000627552</v>
      </c>
      <c r="L21" s="1"/>
      <c r="M21" s="3" t="s">
        <v>61</v>
      </c>
      <c r="N21" s="4" t="s">
        <v>62</v>
      </c>
      <c r="O21" s="5" t="s">
        <v>62</v>
      </c>
    </row>
    <row r="22" spans="1:15" ht="15" x14ac:dyDescent="0.25">
      <c r="A22" s="1"/>
      <c r="B22" s="9">
        <v>691</v>
      </c>
      <c r="C22" s="31"/>
      <c r="D22" s="35" t="str">
        <f>IF(T!$D$2=T!$M$2,M23,IF(T!$D$2=T!$N$2,N23,O23))</f>
        <v>PERCENTILE</v>
      </c>
      <c r="E22" s="18">
        <f>_xlfn.PERCENTILE.INC(data,1/2)</f>
        <v>649.5</v>
      </c>
      <c r="F22" s="30">
        <f>PERCENTILE(data,1/2)</f>
        <v>649.5</v>
      </c>
      <c r="G22" s="30"/>
      <c r="H22" s="1"/>
      <c r="I22" s="1"/>
      <c r="J22" s="50">
        <f t="shared" si="0"/>
        <v>227988105361</v>
      </c>
      <c r="K22" s="50">
        <f t="shared" si="1"/>
        <v>3197019.9010504908</v>
      </c>
      <c r="L22" s="1"/>
      <c r="M22" s="3" t="s">
        <v>63</v>
      </c>
      <c r="N22" s="4" t="s">
        <v>64</v>
      </c>
      <c r="O22" s="5" t="s">
        <v>64</v>
      </c>
    </row>
    <row r="23" spans="1:15" ht="15" x14ac:dyDescent="0.25">
      <c r="A23" s="1"/>
      <c r="B23" s="9">
        <v>665</v>
      </c>
      <c r="C23" s="31"/>
      <c r="D23" s="27" t="str">
        <f>IF(T!$D$2=T!$M$2,M24,IF(T!$D$2=T!$N$2,N24,O24))</f>
        <v xml:space="preserve">    1.2.2. quartiles</v>
      </c>
      <c r="E23" s="26"/>
      <c r="F23" s="30"/>
      <c r="G23" s="30"/>
      <c r="H23" s="1"/>
      <c r="I23" s="1"/>
      <c r="J23" s="50">
        <f t="shared" si="0"/>
        <v>195562950625</v>
      </c>
      <c r="K23" s="50">
        <f t="shared" si="1"/>
        <v>70331.689741500057</v>
      </c>
      <c r="L23" s="1"/>
      <c r="M23" s="3" t="s">
        <v>65</v>
      </c>
      <c r="N23" s="4" t="s">
        <v>66</v>
      </c>
      <c r="O23" s="5" t="s">
        <v>67</v>
      </c>
    </row>
    <row r="24" spans="1:15" ht="15" x14ac:dyDescent="0.25">
      <c r="A24" s="1"/>
      <c r="B24" s="9">
        <v>680</v>
      </c>
      <c r="C24" s="31" t="s">
        <v>68</v>
      </c>
      <c r="D24" s="36" t="str">
        <f>IF(T!$D$2=T!$M$2,M25,IF(T!$D$2=T!$N$2,N25,O25))</f>
        <v>lower quartile</v>
      </c>
      <c r="E24" s="32"/>
      <c r="F24" s="30"/>
      <c r="G24" s="30"/>
      <c r="H24" s="1"/>
      <c r="I24" s="1"/>
      <c r="J24" s="50">
        <f t="shared" si="0"/>
        <v>213813760000</v>
      </c>
      <c r="K24" s="50">
        <f t="shared" si="1"/>
        <v>957953.96043899679</v>
      </c>
      <c r="L24" s="1"/>
      <c r="M24" s="3" t="s">
        <v>69</v>
      </c>
      <c r="N24" s="4" t="s">
        <v>70</v>
      </c>
      <c r="O24" s="5" t="s">
        <v>71</v>
      </c>
    </row>
    <row r="25" spans="1:15" ht="15" x14ac:dyDescent="0.25">
      <c r="A25" s="1"/>
      <c r="B25" s="9">
        <v>664</v>
      </c>
      <c r="C25" s="31"/>
      <c r="D25" s="33" t="str">
        <f>IF(T!$D$2=T!$M$2,M26,IF(T!$D$2=T!$N$2,N26,O26))</f>
        <v>QUARTILE</v>
      </c>
      <c r="E25" s="18">
        <f>_xlfn.QUARTILE.INC(data,1)</f>
        <v>622</v>
      </c>
      <c r="F25" s="30">
        <f>QUARTILE(data,1)</f>
        <v>622</v>
      </c>
      <c r="G25" s="30"/>
      <c r="H25" s="1"/>
      <c r="I25" s="1"/>
      <c r="J25" s="50">
        <f t="shared" si="0"/>
        <v>194389282816</v>
      </c>
      <c r="K25" s="50">
        <f t="shared" si="1"/>
        <v>54583.549295000172</v>
      </c>
      <c r="L25" s="1"/>
      <c r="M25" s="3" t="s">
        <v>72</v>
      </c>
      <c r="N25" s="4" t="s">
        <v>73</v>
      </c>
      <c r="O25" s="5" t="s">
        <v>74</v>
      </c>
    </row>
    <row r="26" spans="1:15" ht="15" x14ac:dyDescent="0.25">
      <c r="A26" s="1"/>
      <c r="B26" s="9">
        <v>659</v>
      </c>
      <c r="C26" s="31"/>
      <c r="D26" s="35" t="str">
        <f>IF(T!$D$2=T!$M$2,M27,IF(T!$D$2=T!$N$2,N27,O27))</f>
        <v>PERCENTILE</v>
      </c>
      <c r="E26" s="37">
        <f>_xlfn.PERCENTILE.INC(data,1/4)</f>
        <v>622</v>
      </c>
      <c r="F26" s="30">
        <f>PERCENTILE(data,1/4)</f>
        <v>622</v>
      </c>
      <c r="G26" s="30"/>
      <c r="H26" s="1"/>
      <c r="I26" s="1"/>
      <c r="J26" s="50">
        <f t="shared" si="0"/>
        <v>188599986961</v>
      </c>
      <c r="K26" s="50">
        <f t="shared" si="1"/>
        <v>11189.667562500485</v>
      </c>
      <c r="L26" s="1"/>
      <c r="M26" s="3" t="s">
        <v>63</v>
      </c>
      <c r="N26" s="4" t="s">
        <v>64</v>
      </c>
      <c r="O26" s="5" t="s">
        <v>64</v>
      </c>
    </row>
    <row r="27" spans="1:15" ht="15" x14ac:dyDescent="0.25">
      <c r="A27" s="1"/>
      <c r="B27" s="9">
        <v>653</v>
      </c>
      <c r="C27" s="31" t="s">
        <v>75</v>
      </c>
      <c r="D27" s="33" t="str">
        <f>IF(T!$D$2=T!$M$2,M28,IF(T!$D$2=T!$N$2,N28,O28))</f>
        <v>upper quartile</v>
      </c>
      <c r="E27" s="32"/>
      <c r="F27" s="30"/>
      <c r="G27" s="30"/>
      <c r="H27" s="1"/>
      <c r="I27" s="1"/>
      <c r="J27" s="50">
        <f t="shared" si="0"/>
        <v>181824635281</v>
      </c>
      <c r="K27" s="50">
        <f t="shared" si="1"/>
        <v>337.13458350061501</v>
      </c>
      <c r="L27" s="1"/>
      <c r="M27" s="3" t="s">
        <v>65</v>
      </c>
      <c r="N27" s="4" t="s">
        <v>66</v>
      </c>
      <c r="O27" s="5" t="s">
        <v>67</v>
      </c>
    </row>
    <row r="28" spans="1:15" ht="15" x14ac:dyDescent="0.25">
      <c r="A28" s="1"/>
      <c r="B28" s="9">
        <v>715</v>
      </c>
      <c r="C28" s="31"/>
      <c r="D28" s="33" t="str">
        <f>IF(T!$D$2=T!$M$2,M29,IF(T!$D$2=T!$N$2,N29,O29))</f>
        <v>QUARTILE</v>
      </c>
      <c r="E28" s="18">
        <f>_xlfn.QUARTILE.INC(data,3)</f>
        <v>680.25</v>
      </c>
      <c r="F28" s="30">
        <f>QUARTILE(data,3)</f>
        <v>680.25</v>
      </c>
      <c r="G28" s="30"/>
      <c r="H28" s="1"/>
      <c r="I28" s="1"/>
      <c r="J28" s="50">
        <f t="shared" si="0"/>
        <v>261351000625</v>
      </c>
      <c r="K28" s="50">
        <f t="shared" si="1"/>
        <v>19304610.454566468</v>
      </c>
      <c r="L28" s="1"/>
      <c r="M28" s="3" t="s">
        <v>76</v>
      </c>
      <c r="N28" s="4" t="s">
        <v>77</v>
      </c>
      <c r="O28" s="5" t="s">
        <v>78</v>
      </c>
    </row>
    <row r="29" spans="1:15" ht="15" x14ac:dyDescent="0.25">
      <c r="A29" s="1"/>
      <c r="B29" s="9">
        <v>647</v>
      </c>
      <c r="C29" s="31"/>
      <c r="D29" s="35" t="str">
        <f>IF(T!$D$2=T!$M$2,M30,IF(T!$D$2=T!$N$2,N30,O30))</f>
        <v>PERCENTILE</v>
      </c>
      <c r="E29" s="37">
        <f>_xlfn.PERCENTILE.INC(data,3/4)</f>
        <v>680.25</v>
      </c>
      <c r="F29" s="30">
        <f>PERCENTILE(data,3/4)</f>
        <v>680.25</v>
      </c>
      <c r="G29" s="30"/>
      <c r="H29" s="1"/>
      <c r="I29" s="1"/>
      <c r="J29" s="50">
        <f t="shared" si="0"/>
        <v>175233494881</v>
      </c>
      <c r="K29" s="50">
        <f t="shared" si="1"/>
        <v>8.6508045006256413</v>
      </c>
      <c r="L29" s="1"/>
      <c r="M29" s="3" t="s">
        <v>63</v>
      </c>
      <c r="N29" s="4" t="s">
        <v>64</v>
      </c>
      <c r="O29" s="5" t="s">
        <v>64</v>
      </c>
    </row>
    <row r="30" spans="1:15" ht="15" x14ac:dyDescent="0.25">
      <c r="A30" s="1"/>
      <c r="B30" s="9">
        <v>586</v>
      </c>
      <c r="C30" s="31"/>
      <c r="D30" s="38" t="str">
        <f>IF(T!$D$2=T!$M$2,M31,IF(T!$D$2=T!$N$2,N31,O31))</f>
        <v xml:space="preserve">    1.2.3. quintiles</v>
      </c>
      <c r="E30" s="32"/>
      <c r="F30" s="30"/>
      <c r="G30" s="30"/>
      <c r="H30" s="1"/>
      <c r="I30" s="1"/>
      <c r="J30" s="50">
        <f t="shared" si="0"/>
        <v>117920812816</v>
      </c>
      <c r="K30" s="50">
        <f t="shared" si="1"/>
        <v>15469835.885168033</v>
      </c>
      <c r="L30" s="1"/>
      <c r="M30" s="3" t="s">
        <v>65</v>
      </c>
      <c r="N30" s="4" t="s">
        <v>66</v>
      </c>
      <c r="O30" s="5" t="s">
        <v>67</v>
      </c>
    </row>
    <row r="31" spans="1:15" ht="15" x14ac:dyDescent="0.25">
      <c r="A31" s="1"/>
      <c r="B31" s="9">
        <v>609</v>
      </c>
      <c r="C31" s="31" t="s">
        <v>79</v>
      </c>
      <c r="D31" s="33" t="str">
        <f>IF(T!$D$2=T!$M$2,M32,IF(T!$D$2=T!$N$2,N32,O32))</f>
        <v>e.g. 2nd quintile</v>
      </c>
      <c r="E31" s="18">
        <f>_xlfn.PERCENTILE.INC(data,2/5)</f>
        <v>641.6</v>
      </c>
      <c r="F31" s="30">
        <f>PERCENTILE(data,2/5)</f>
        <v>641.6</v>
      </c>
      <c r="G31" s="30"/>
      <c r="H31" s="1"/>
      <c r="I31" s="1"/>
      <c r="J31" s="50">
        <f t="shared" si="0"/>
        <v>137552716161</v>
      </c>
      <c r="K31" s="50">
        <f t="shared" si="1"/>
        <v>2487816.0627375082</v>
      </c>
      <c r="L31" s="1"/>
      <c r="M31" s="3" t="s">
        <v>80</v>
      </c>
      <c r="N31" s="4" t="s">
        <v>81</v>
      </c>
      <c r="O31" s="5" t="s">
        <v>82</v>
      </c>
    </row>
    <row r="32" spans="1:15" ht="15" x14ac:dyDescent="0.25">
      <c r="A32" s="1"/>
      <c r="B32" s="9">
        <v>600</v>
      </c>
      <c r="C32" s="31" t="s">
        <v>83</v>
      </c>
      <c r="D32" s="33" t="str">
        <f>IF(T!$D$2=T!$M$2,M33,IF(T!$D$2=T!$N$2,N33,O33))</f>
        <v>e.g. 4th quintile</v>
      </c>
      <c r="E32" s="39">
        <f>_xlfn.PERCENTILE.INC(data,4/5)</f>
        <v>685</v>
      </c>
      <c r="F32" s="30">
        <f>PERCENTILE(data,4/5)</f>
        <v>685</v>
      </c>
      <c r="G32" s="30"/>
      <c r="H32" s="1"/>
      <c r="I32" s="1"/>
      <c r="J32" s="50">
        <f t="shared" si="0"/>
        <v>129600000000</v>
      </c>
      <c r="K32" s="50">
        <f t="shared" si="1"/>
        <v>5631846.736719016</v>
      </c>
      <c r="L32" s="1"/>
      <c r="M32" s="3" t="s">
        <v>84</v>
      </c>
      <c r="N32" s="4" t="s">
        <v>85</v>
      </c>
      <c r="O32" s="5" t="s">
        <v>86</v>
      </c>
    </row>
    <row r="33" spans="1:15" ht="15" x14ac:dyDescent="0.25">
      <c r="A33" s="1"/>
      <c r="B33" s="9">
        <v>704</v>
      </c>
      <c r="C33" s="31"/>
      <c r="D33" s="27" t="str">
        <f>IF(T!$D$2=T!$M$2,M34,IF(T!$D$2=T!$N$2,N34,O34))</f>
        <v xml:space="preserve">    1.2.4. deciles</v>
      </c>
      <c r="E33" s="32"/>
      <c r="F33" s="30"/>
      <c r="G33" s="30"/>
      <c r="H33" s="1"/>
      <c r="I33" s="1"/>
      <c r="J33" s="50">
        <f t="shared" si="0"/>
        <v>245635219456</v>
      </c>
      <c r="K33" s="50">
        <f t="shared" si="1"/>
        <v>9341771.8331549801</v>
      </c>
      <c r="L33" s="1"/>
      <c r="M33" s="3" t="s">
        <v>87</v>
      </c>
      <c r="N33" s="4" t="s">
        <v>88</v>
      </c>
      <c r="O33" s="5" t="s">
        <v>89</v>
      </c>
    </row>
    <row r="34" spans="1:15" ht="15" x14ac:dyDescent="0.25">
      <c r="A34" s="1"/>
      <c r="B34" s="9">
        <v>649</v>
      </c>
      <c r="C34" s="31" t="s">
        <v>90</v>
      </c>
      <c r="D34" s="33" t="str">
        <f>IF(T!$D$2=T!$M$2,M35,IF(T!$D$2=T!$N$2,N35,O35))</f>
        <v>e.g. 1st decile</v>
      </c>
      <c r="E34" s="18">
        <f>_xlfn.PERCENTILE.INC(data,1/10)</f>
        <v>597.9</v>
      </c>
      <c r="F34" s="30">
        <f>PERCENTILE(data,1/10)</f>
        <v>597.9</v>
      </c>
      <c r="G34" s="30"/>
      <c r="H34" s="1"/>
      <c r="I34" s="1"/>
      <c r="J34" s="50">
        <f t="shared" si="0"/>
        <v>177410282401</v>
      </c>
      <c r="K34" s="50">
        <f t="shared" si="1"/>
        <v>6.5975006249970524E-3</v>
      </c>
      <c r="L34" s="1"/>
      <c r="M34" s="3" t="s">
        <v>91</v>
      </c>
      <c r="N34" s="4" t="s">
        <v>92</v>
      </c>
      <c r="O34" s="5" t="s">
        <v>93</v>
      </c>
    </row>
    <row r="35" spans="1:15" ht="15" x14ac:dyDescent="0.25">
      <c r="A35" s="1"/>
      <c r="B35" s="9">
        <v>661</v>
      </c>
      <c r="C35" s="31" t="s">
        <v>94</v>
      </c>
      <c r="D35" s="33" t="str">
        <f>IF(T!$D$2=T!$M$2,M36,IF(T!$D$2=T!$N$2,N36,O36))</f>
        <v>e.g. 6th decile</v>
      </c>
      <c r="E35" s="18">
        <f>_xlfn.PERCENTILE.INC(data,6/10)</f>
        <v>661.4</v>
      </c>
      <c r="F35" s="30">
        <f>PERCENTILE(data,6/10)</f>
        <v>661.4</v>
      </c>
      <c r="G35" s="30"/>
      <c r="H35" s="1"/>
      <c r="I35" s="1"/>
      <c r="J35" s="50">
        <f t="shared" si="0"/>
        <v>190899960241</v>
      </c>
      <c r="K35" s="50">
        <f t="shared" si="1"/>
        <v>22777.216155500391</v>
      </c>
      <c r="L35" s="1"/>
      <c r="M35" s="3" t="s">
        <v>95</v>
      </c>
      <c r="N35" s="4" t="s">
        <v>96</v>
      </c>
      <c r="O35" s="5" t="s">
        <v>97</v>
      </c>
    </row>
    <row r="36" spans="1:15" ht="15" x14ac:dyDescent="0.25">
      <c r="A36" s="1"/>
      <c r="B36" s="9">
        <v>616</v>
      </c>
      <c r="C36" s="31" t="s">
        <v>98</v>
      </c>
      <c r="D36" s="35" t="str">
        <f>IF(T!$D$2=T!$M$2,M37,IF(T!$D$2=T!$N$2,N37,O37))</f>
        <v>e.g. 9th decile</v>
      </c>
      <c r="E36" s="37">
        <f>_xlfn.PERCENTILE.INC(data,9/10)</f>
        <v>699.1</v>
      </c>
      <c r="F36" s="30">
        <f>PERCENTILE(data,9/10)</f>
        <v>699.1</v>
      </c>
      <c r="G36" s="30"/>
      <c r="H36" s="1"/>
      <c r="I36" s="1"/>
      <c r="J36" s="50">
        <f t="shared" si="0"/>
        <v>143986855936</v>
      </c>
      <c r="K36" s="50">
        <f t="shared" si="1"/>
        <v>1145480.495063005</v>
      </c>
      <c r="L36" s="1"/>
      <c r="M36" s="3" t="s">
        <v>99</v>
      </c>
      <c r="N36" s="4" t="s">
        <v>100</v>
      </c>
      <c r="O36" s="5" t="s">
        <v>101</v>
      </c>
    </row>
    <row r="37" spans="1:15" ht="15" x14ac:dyDescent="0.25">
      <c r="A37" s="1"/>
      <c r="B37" s="9">
        <v>632</v>
      </c>
      <c r="C37" s="31"/>
      <c r="D37" s="27" t="str">
        <f>IF(T!$D$2=T!$M$2,M38,IF(T!$D$2=T!$N$2,N38,O38))</f>
        <v xml:space="preserve">    1.2.5. percentiles</v>
      </c>
      <c r="E37" s="32"/>
      <c r="F37" s="30"/>
      <c r="G37" s="30"/>
      <c r="H37" s="1"/>
      <c r="I37" s="1"/>
      <c r="J37" s="50">
        <f t="shared" si="0"/>
        <v>159539531776</v>
      </c>
      <c r="K37" s="50">
        <f t="shared" si="1"/>
        <v>78059.456607001208</v>
      </c>
      <c r="L37" s="1"/>
      <c r="M37" s="3" t="s">
        <v>102</v>
      </c>
      <c r="N37" s="4" t="s">
        <v>103</v>
      </c>
      <c r="O37" s="5" t="s">
        <v>104</v>
      </c>
    </row>
    <row r="38" spans="1:15" ht="15" x14ac:dyDescent="0.25">
      <c r="A38" s="1"/>
      <c r="B38" s="9">
        <v>671</v>
      </c>
      <c r="C38" s="31" t="s">
        <v>105</v>
      </c>
      <c r="D38" s="35" t="str">
        <f>IF(T!$D$2=T!$M$2,M39,IF(T!$D$2=T!$N$2,N39,O39))</f>
        <v>e.g. 35th percentile</v>
      </c>
      <c r="E38" s="18">
        <f>_xlfn.PERCENTILE.INC(data,35/100)</f>
        <v>635.29999999999995</v>
      </c>
      <c r="F38" s="30">
        <f>PERCENTILE(data,35/100)</f>
        <v>635.29999999999995</v>
      </c>
      <c r="G38" s="30"/>
      <c r="H38" s="1"/>
      <c r="I38" s="1"/>
      <c r="J38" s="50">
        <f t="shared" si="0"/>
        <v>202716958081</v>
      </c>
      <c r="K38" s="50">
        <f t="shared" si="1"/>
        <v>246632.6411204992</v>
      </c>
      <c r="L38" s="1"/>
      <c r="M38" s="3" t="s">
        <v>106</v>
      </c>
      <c r="N38" s="4" t="s">
        <v>107</v>
      </c>
      <c r="O38" s="5" t="s">
        <v>108</v>
      </c>
    </row>
    <row r="39" spans="1:15" ht="15" x14ac:dyDescent="0.25">
      <c r="A39" s="1"/>
      <c r="B39" s="9">
        <v>689</v>
      </c>
      <c r="C39" s="31"/>
      <c r="D39" s="27" t="str">
        <f>IF(T!$D$2=T!$M$2,M40,IF(T!$D$2=T!$N$2,N40,O40))</f>
        <v xml:space="preserve">    1.2.6. α-quantile</v>
      </c>
      <c r="E39" s="32"/>
      <c r="F39" s="30"/>
      <c r="G39" s="30"/>
      <c r="H39" s="1"/>
      <c r="I39" s="1"/>
      <c r="J39" s="50">
        <f t="shared" si="0"/>
        <v>225360027841</v>
      </c>
      <c r="K39" s="50">
        <f t="shared" si="1"/>
        <v>2633743.4704574919</v>
      </c>
      <c r="L39" s="1"/>
      <c r="M39" s="3" t="s">
        <v>109</v>
      </c>
      <c r="N39" s="4" t="s">
        <v>110</v>
      </c>
      <c r="O39" s="5" t="s">
        <v>111</v>
      </c>
    </row>
    <row r="40" spans="1:15" ht="15" x14ac:dyDescent="0.25">
      <c r="A40" s="1"/>
      <c r="B40" s="9">
        <v>683</v>
      </c>
      <c r="C40" s="31"/>
      <c r="D40" s="35" t="str">
        <f>IF(T!$D$2=T!$M$2,M41,IF(T!$D$2=T!$N$2,N41,O41))</f>
        <v>e.g. α = 0.378</v>
      </c>
      <c r="E40" s="18">
        <f>_xlfn.PERCENTILE.INC(data,0.378)</f>
        <v>638</v>
      </c>
      <c r="F40" s="30">
        <f>PERCENTILE(data,0.378)</f>
        <v>638</v>
      </c>
      <c r="G40" s="30"/>
      <c r="H40" s="1"/>
      <c r="I40" s="1"/>
      <c r="J40" s="50">
        <f t="shared" si="0"/>
        <v>217611987121</v>
      </c>
      <c r="K40" s="50">
        <f t="shared" si="1"/>
        <v>1381709.0914784954</v>
      </c>
      <c r="L40" s="1"/>
      <c r="M40" s="3" t="s">
        <v>112</v>
      </c>
      <c r="N40" s="4" t="s">
        <v>113</v>
      </c>
      <c r="O40" s="5" t="s">
        <v>114</v>
      </c>
    </row>
    <row r="41" spans="1:15" ht="15" x14ac:dyDescent="0.25">
      <c r="A41" s="1"/>
      <c r="B41" s="9">
        <v>660</v>
      </c>
      <c r="C41" s="31" t="s">
        <v>115</v>
      </c>
      <c r="D41" s="27" t="str">
        <f>IF(T!$D$2=T!$M$2,M42,IF(T!$D$2=T!$N$2,N42,O42))</f>
        <v xml:space="preserve">    1.2.7. minimum</v>
      </c>
      <c r="E41" s="32"/>
      <c r="F41" s="30"/>
      <c r="G41" s="30"/>
      <c r="H41" s="1"/>
      <c r="I41" s="1"/>
      <c r="J41" s="50">
        <f t="shared" si="0"/>
        <v>189747360000</v>
      </c>
      <c r="K41" s="50">
        <f t="shared" si="1"/>
        <v>16218.33450900044</v>
      </c>
      <c r="L41" s="1"/>
      <c r="M41" s="3" t="s">
        <v>116</v>
      </c>
      <c r="N41" s="4" t="s">
        <v>117</v>
      </c>
      <c r="O41" s="5" t="s">
        <v>118</v>
      </c>
    </row>
    <row r="42" spans="1:15" ht="15" x14ac:dyDescent="0.25">
      <c r="A42" s="1"/>
      <c r="B42" s="9">
        <v>726</v>
      </c>
      <c r="C42" s="31"/>
      <c r="D42" s="33" t="str">
        <f>IF(T!$D$2=T!$M$2,M43,IF(T!$D$2=T!$N$2,N43,O43))</f>
        <v>MIN</v>
      </c>
      <c r="E42" s="34">
        <f>MIN(data)</f>
        <v>491</v>
      </c>
      <c r="F42" s="13"/>
      <c r="G42" s="13"/>
      <c r="H42" s="1"/>
      <c r="I42" s="1"/>
      <c r="J42" s="50">
        <f t="shared" si="0"/>
        <v>277809109776</v>
      </c>
      <c r="K42" s="50">
        <f t="shared" si="1"/>
        <v>35676385.254677936</v>
      </c>
      <c r="L42" s="1"/>
      <c r="M42" s="3" t="s">
        <v>119</v>
      </c>
      <c r="N42" s="4" t="s">
        <v>120</v>
      </c>
      <c r="O42" s="5" t="s">
        <v>119</v>
      </c>
    </row>
    <row r="43" spans="1:15" ht="15" x14ac:dyDescent="0.25">
      <c r="A43" s="1"/>
      <c r="B43" s="9">
        <v>608</v>
      </c>
      <c r="C43" s="31"/>
      <c r="D43" s="33" t="str">
        <f>IF(T!$D$2=T!$M$2,M44,IF(T!$D$2=T!$N$2,N44,O44))</f>
        <v>QUARTILE</v>
      </c>
      <c r="E43" s="18">
        <f>_xlfn.QUARTILE.INC(data,0)</f>
        <v>491</v>
      </c>
      <c r="F43" s="30">
        <f>QUARTILE(data,0)</f>
        <v>491</v>
      </c>
      <c r="G43" s="30"/>
      <c r="H43" s="1"/>
      <c r="I43" s="1"/>
      <c r="J43" s="50">
        <f t="shared" si="0"/>
        <v>136651472896</v>
      </c>
      <c r="K43" s="50">
        <f t="shared" si="1"/>
        <v>2748006.505491009</v>
      </c>
      <c r="L43" s="1"/>
      <c r="M43" s="3" t="s">
        <v>121</v>
      </c>
      <c r="N43" s="4" t="s">
        <v>121</v>
      </c>
      <c r="O43" s="5" t="s">
        <v>121</v>
      </c>
    </row>
    <row r="44" spans="1:15" ht="15" x14ac:dyDescent="0.25">
      <c r="A44" s="1"/>
      <c r="B44" s="9">
        <v>624</v>
      </c>
      <c r="C44" s="31"/>
      <c r="D44" s="35" t="str">
        <f>IF(T!$D$2=T!$M$2,M45,IF(T!$D$2=T!$N$2,N45,O45))</f>
        <v>PERCENTILE</v>
      </c>
      <c r="E44" s="18">
        <f>_xlfn.PERCENTILE.INC(data,0)</f>
        <v>491</v>
      </c>
      <c r="F44" s="30">
        <f>PERCENTILE(data,0)</f>
        <v>491</v>
      </c>
      <c r="G44" s="30"/>
      <c r="H44" s="1"/>
      <c r="I44" s="1"/>
      <c r="J44" s="50">
        <f t="shared" si="0"/>
        <v>151613669376</v>
      </c>
      <c r="K44" s="50">
        <f t="shared" si="1"/>
        <v>373114.78543500259</v>
      </c>
      <c r="L44" s="1"/>
      <c r="M44" s="3" t="s">
        <v>63</v>
      </c>
      <c r="N44" s="4" t="s">
        <v>64</v>
      </c>
      <c r="O44" s="5" t="s">
        <v>64</v>
      </c>
    </row>
    <row r="45" spans="1:15" ht="15" x14ac:dyDescent="0.25">
      <c r="A45" s="1"/>
      <c r="B45" s="9">
        <v>632</v>
      </c>
      <c r="C45" s="31" t="s">
        <v>122</v>
      </c>
      <c r="D45" s="38" t="str">
        <f>IF(T!$D$2=T!$M$2,M46,IF(T!$D$2=T!$N$2,N46,O46))</f>
        <v xml:space="preserve">    1.2.8. maximum</v>
      </c>
      <c r="E45" s="32"/>
      <c r="F45" s="30"/>
      <c r="G45" s="30"/>
      <c r="H45" s="1"/>
      <c r="I45" s="1"/>
      <c r="J45" s="50">
        <f t="shared" si="0"/>
        <v>159539531776</v>
      </c>
      <c r="K45" s="50">
        <f t="shared" si="1"/>
        <v>78059.456607001208</v>
      </c>
      <c r="L45" s="1"/>
      <c r="M45" s="3" t="s">
        <v>65</v>
      </c>
      <c r="N45" s="4" t="s">
        <v>66</v>
      </c>
      <c r="O45" s="5" t="s">
        <v>67</v>
      </c>
    </row>
    <row r="46" spans="1:15" ht="15" x14ac:dyDescent="0.25">
      <c r="A46" s="1"/>
      <c r="B46" s="9">
        <v>698</v>
      </c>
      <c r="C46" s="1"/>
      <c r="D46" s="33" t="str">
        <f>IF(T!$D$2=T!$M$2,M47,IF(T!$D$2=T!$N$2,N47,O47))</f>
        <v>MAX</v>
      </c>
      <c r="E46" s="34">
        <f>MAX(data)</f>
        <v>762</v>
      </c>
      <c r="F46" s="13"/>
      <c r="G46" s="13"/>
      <c r="H46" s="1"/>
      <c r="I46" s="1"/>
      <c r="J46" s="50">
        <f t="shared" si="0"/>
        <v>237367737616</v>
      </c>
      <c r="K46" s="50">
        <f t="shared" si="1"/>
        <v>5900095.5311759859</v>
      </c>
      <c r="L46" s="1"/>
      <c r="M46" s="3" t="s">
        <v>123</v>
      </c>
      <c r="N46" s="4" t="s">
        <v>124</v>
      </c>
      <c r="O46" s="5" t="s">
        <v>123</v>
      </c>
    </row>
    <row r="47" spans="1:15" ht="15" x14ac:dyDescent="0.25">
      <c r="A47" s="1"/>
      <c r="B47" s="9">
        <v>657</v>
      </c>
      <c r="C47" s="1"/>
      <c r="D47" s="33" t="str">
        <f>IF(T!$D$2=T!$M$2,M48,IF(T!$D$2=T!$N$2,N48,O48))</f>
        <v>QUARTILE</v>
      </c>
      <c r="E47" s="18">
        <f>_xlfn.QUARTILE.INC(data,4)</f>
        <v>762</v>
      </c>
      <c r="F47" s="30">
        <f>QUARTILE(data,4)</f>
        <v>762</v>
      </c>
      <c r="G47" s="30"/>
      <c r="H47" s="1"/>
      <c r="I47" s="1"/>
      <c r="J47" s="50">
        <f t="shared" si="0"/>
        <v>186320859201</v>
      </c>
      <c r="K47" s="50">
        <f t="shared" si="1"/>
        <v>4711.6177695005517</v>
      </c>
      <c r="L47" s="1"/>
      <c r="M47" s="3" t="s">
        <v>125</v>
      </c>
      <c r="N47" s="4" t="s">
        <v>125</v>
      </c>
      <c r="O47" s="5" t="s">
        <v>125</v>
      </c>
    </row>
    <row r="48" spans="1:15" ht="15" x14ac:dyDescent="0.25">
      <c r="A48" s="1"/>
      <c r="B48" s="9">
        <v>653</v>
      </c>
      <c r="C48" s="1"/>
      <c r="D48" s="35" t="str">
        <f>IF(T!$D$2=T!$M$2,M49,IF(T!$D$2=T!$N$2,N49,O49))</f>
        <v>PERCENTILE</v>
      </c>
      <c r="E48" s="18">
        <f>_xlfn.PERCENTILE.INC(data,1)</f>
        <v>762</v>
      </c>
      <c r="F48" s="30">
        <f>PERCENTILE(data,1)</f>
        <v>762</v>
      </c>
      <c r="G48" s="30"/>
      <c r="H48" s="1"/>
      <c r="I48" s="1"/>
      <c r="J48" s="50">
        <f t="shared" si="0"/>
        <v>181824635281</v>
      </c>
      <c r="K48" s="50">
        <f t="shared" si="1"/>
        <v>337.13458350061501</v>
      </c>
      <c r="L48" s="1"/>
      <c r="M48" s="3" t="s">
        <v>63</v>
      </c>
      <c r="N48" s="4" t="s">
        <v>64</v>
      </c>
      <c r="O48" s="5" t="s">
        <v>64</v>
      </c>
    </row>
    <row r="49" spans="1:15" ht="15" x14ac:dyDescent="0.25">
      <c r="A49" s="1"/>
      <c r="B49" s="9">
        <v>762</v>
      </c>
      <c r="C49" s="1"/>
      <c r="D49" s="20"/>
      <c r="E49" s="1"/>
      <c r="F49" s="1"/>
      <c r="G49" s="1"/>
      <c r="H49" s="1"/>
      <c r="I49" s="1"/>
      <c r="J49" s="50">
        <f t="shared" si="0"/>
        <v>337147454736</v>
      </c>
      <c r="K49" s="50">
        <f t="shared" si="1"/>
        <v>164698497.0221518</v>
      </c>
      <c r="L49" s="1"/>
      <c r="M49" s="3" t="s">
        <v>65</v>
      </c>
      <c r="N49" s="4" t="s">
        <v>66</v>
      </c>
      <c r="O49" s="5" t="s">
        <v>67</v>
      </c>
    </row>
    <row r="50" spans="1:15" ht="30" x14ac:dyDescent="0.25">
      <c r="A50" s="1"/>
      <c r="B50" s="9">
        <v>578</v>
      </c>
      <c r="C50" s="1"/>
      <c r="D50" s="17" t="str">
        <f>IF(T!$D$2=T!$M$2,M50,IF(T!$D$2=T!$N$2,N50,O50))</f>
        <v>What percentage of the data is less than 600?</v>
      </c>
      <c r="E50" s="18">
        <f>COUNTIFS(data,"&lt;600")/E8</f>
        <v>0.12</v>
      </c>
      <c r="F50" s="1">
        <f>COUNTIF(data,"&lt;600")/E8</f>
        <v>0.12</v>
      </c>
      <c r="G50" s="1"/>
      <c r="H50" s="1"/>
      <c r="I50" s="1"/>
      <c r="J50" s="50">
        <f t="shared" si="0"/>
        <v>111612119056</v>
      </c>
      <c r="K50" s="50">
        <f t="shared" si="1"/>
        <v>25006112.623596042</v>
      </c>
      <c r="L50" s="1"/>
      <c r="M50" s="3" t="s">
        <v>126</v>
      </c>
      <c r="N50" s="4" t="s">
        <v>127</v>
      </c>
      <c r="O50" s="5" t="s">
        <v>128</v>
      </c>
    </row>
    <row r="51" spans="1:15" ht="15" x14ac:dyDescent="0.25">
      <c r="A51" s="1"/>
      <c r="B51" s="9">
        <v>627</v>
      </c>
      <c r="C51" s="1"/>
      <c r="D51" s="1"/>
      <c r="E51" s="1"/>
      <c r="F51" s="1"/>
      <c r="G51" s="1"/>
      <c r="H51" s="1"/>
      <c r="I51" s="1"/>
      <c r="J51" s="50">
        <f t="shared" si="0"/>
        <v>154550410641</v>
      </c>
      <c r="K51" s="50">
        <f t="shared" si="1"/>
        <v>222351.1268745019</v>
      </c>
      <c r="L51" s="1"/>
      <c r="M51" s="3" t="s">
        <v>129</v>
      </c>
      <c r="N51" s="4" t="s">
        <v>130</v>
      </c>
      <c r="O51" s="5" t="s">
        <v>131</v>
      </c>
    </row>
    <row r="52" spans="1:15" ht="15" x14ac:dyDescent="0.25">
      <c r="A52" s="1"/>
      <c r="B52" s="9">
        <v>603</v>
      </c>
      <c r="C52" s="1"/>
      <c r="D52" s="1"/>
      <c r="E52" s="1"/>
      <c r="F52" s="1"/>
      <c r="G52" s="1"/>
      <c r="H52" s="1"/>
      <c r="I52" s="1"/>
      <c r="J52" s="50">
        <f t="shared" si="0"/>
        <v>132211504881</v>
      </c>
      <c r="K52" s="50">
        <f t="shared" si="1"/>
        <v>4367519.9397585122</v>
      </c>
      <c r="L52" s="1"/>
      <c r="M52" s="3" t="s">
        <v>132</v>
      </c>
      <c r="N52" s="4" t="s">
        <v>133</v>
      </c>
      <c r="O52" s="5" t="s">
        <v>134</v>
      </c>
    </row>
    <row r="53" spans="1:15" ht="15" x14ac:dyDescent="0.25">
      <c r="A53" s="1"/>
      <c r="B53" s="9">
        <v>598</v>
      </c>
      <c r="C53" s="1"/>
      <c r="D53" s="25" t="str">
        <f>IF(T!$D$2=T!$M$2,M51,IF(T!$D$2=T!$N$2,N51,O51))</f>
        <v>2. measures of dispersion (spread)</v>
      </c>
      <c r="E53" s="40"/>
      <c r="F53" s="52"/>
      <c r="G53" s="1"/>
      <c r="H53" s="1"/>
      <c r="I53" s="1"/>
      <c r="J53" s="50">
        <f t="shared" si="0"/>
        <v>127880620816</v>
      </c>
      <c r="K53" s="50">
        <f t="shared" si="1"/>
        <v>6615241.7415260179</v>
      </c>
      <c r="L53" s="1"/>
      <c r="M53" s="3" t="s">
        <v>135</v>
      </c>
      <c r="N53" s="4" t="s">
        <v>136</v>
      </c>
      <c r="O53" s="5" t="s">
        <v>137</v>
      </c>
    </row>
    <row r="54" spans="1:15" ht="15" x14ac:dyDescent="0.25">
      <c r="A54" s="1"/>
      <c r="B54" s="9">
        <v>547</v>
      </c>
      <c r="C54" s="1"/>
      <c r="D54" s="1"/>
      <c r="E54" s="1"/>
      <c r="F54" s="1"/>
      <c r="G54" s="1"/>
      <c r="H54" s="1"/>
      <c r="I54" s="1"/>
      <c r="J54" s="50">
        <f t="shared" si="0"/>
        <v>89526025681</v>
      </c>
      <c r="K54" s="50">
        <f t="shared" si="1"/>
        <v>107038499.83115463</v>
      </c>
      <c r="L54" s="1"/>
      <c r="M54" s="3" t="s">
        <v>138</v>
      </c>
      <c r="N54" s="4" t="s">
        <v>139</v>
      </c>
      <c r="O54" s="5" t="s">
        <v>140</v>
      </c>
    </row>
    <row r="55" spans="1:15" ht="15" x14ac:dyDescent="0.25">
      <c r="A55" s="1"/>
      <c r="B55" s="9">
        <v>655</v>
      </c>
      <c r="C55" s="1"/>
      <c r="D55" s="42" t="str">
        <f>IF(T!$D$2=T!$M$2,M52,IF(T!$D$2=T!$N$2,N52,O52))</f>
        <v xml:space="preserve">  2.1. range</v>
      </c>
      <c r="E55" s="18">
        <f>E46-E42</f>
        <v>271</v>
      </c>
      <c r="F55" s="1"/>
      <c r="G55" s="1"/>
      <c r="H55" s="1"/>
      <c r="I55" s="1"/>
      <c r="J55" s="50">
        <f t="shared" si="0"/>
        <v>184062450625</v>
      </c>
      <c r="K55" s="50">
        <f t="shared" si="1"/>
        <v>1560.3467765005935</v>
      </c>
      <c r="L55" s="1"/>
      <c r="M55" s="3" t="s">
        <v>141</v>
      </c>
      <c r="N55" s="4" t="s">
        <v>142</v>
      </c>
      <c r="O55" s="5" t="s">
        <v>143</v>
      </c>
    </row>
    <row r="56" spans="1:15" ht="15" x14ac:dyDescent="0.25">
      <c r="A56" s="1"/>
      <c r="B56" s="9">
        <v>634</v>
      </c>
      <c r="C56" s="1"/>
      <c r="D56" s="17" t="str">
        <f>IF(T!$D$2=T!$M$2,M53,IF(T!$D$2=T!$N$2,N53,O53))</f>
        <v xml:space="preserve">  2.2. interquartile range</v>
      </c>
      <c r="E56" s="18">
        <f>E28-E25</f>
        <v>58.25</v>
      </c>
      <c r="F56" s="1"/>
      <c r="G56" s="1"/>
      <c r="H56" s="1"/>
      <c r="I56" s="1"/>
      <c r="J56" s="50">
        <f t="shared" si="0"/>
        <v>161568625936</v>
      </c>
      <c r="K56" s="50">
        <f t="shared" si="1"/>
        <v>46885.771400001031</v>
      </c>
      <c r="L56" s="1"/>
      <c r="M56" s="3" t="s">
        <v>144</v>
      </c>
      <c r="N56" s="4" t="s">
        <v>145</v>
      </c>
      <c r="O56" s="5" t="s">
        <v>144</v>
      </c>
    </row>
    <row r="57" spans="1:15" ht="15" x14ac:dyDescent="0.25">
      <c r="A57" s="1"/>
      <c r="B57" s="9">
        <v>539</v>
      </c>
      <c r="C57" s="1"/>
      <c r="D57" s="17" t="str">
        <f>IF(T!$D$2=T!$M$2,M54,IF(T!$D$2=T!$N$2,N54,O54))</f>
        <v xml:space="preserve">  2.3. interdecile range</v>
      </c>
      <c r="E57" s="18">
        <f>E36-E34</f>
        <v>101.20000000000005</v>
      </c>
      <c r="F57" s="1"/>
      <c r="G57" s="1"/>
      <c r="H57" s="1"/>
      <c r="I57" s="1"/>
      <c r="J57" s="50">
        <f t="shared" si="0"/>
        <v>84402451441</v>
      </c>
      <c r="K57" s="50">
        <f t="shared" si="1"/>
        <v>144898546.75598267</v>
      </c>
      <c r="L57" s="1"/>
      <c r="M57" s="3" t="s">
        <v>146</v>
      </c>
      <c r="N57" s="4" t="s">
        <v>147</v>
      </c>
      <c r="O57" s="5" t="s">
        <v>147</v>
      </c>
    </row>
    <row r="58" spans="1:15" ht="45" x14ac:dyDescent="0.25">
      <c r="A58" s="1"/>
      <c r="B58" s="9">
        <v>586</v>
      </c>
      <c r="C58" s="1"/>
      <c r="D58" s="38" t="str">
        <f>IF(T!$D$2=T!$M$2,M55,IF(T!$D$2=T!$N$2,N55,O55))</f>
        <v xml:space="preserve">  2.4. the variance of the data set AS A POPULATION (variance without Bessel's correction)</v>
      </c>
      <c r="E58" s="43"/>
      <c r="F58" s="1"/>
      <c r="G58" s="1"/>
      <c r="H58" s="1"/>
      <c r="I58" s="1"/>
      <c r="J58" s="50">
        <f t="shared" si="0"/>
        <v>117920812816</v>
      </c>
      <c r="K58" s="50">
        <f t="shared" si="1"/>
        <v>15469835.885168033</v>
      </c>
      <c r="L58" s="1"/>
      <c r="M58" s="3" t="s">
        <v>148</v>
      </c>
      <c r="N58" s="4" t="s">
        <v>149</v>
      </c>
      <c r="O58" s="5" t="s">
        <v>150</v>
      </c>
    </row>
    <row r="59" spans="1:15" ht="15" x14ac:dyDescent="0.25">
      <c r="A59" s="1"/>
      <c r="B59" s="9">
        <v>702</v>
      </c>
      <c r="C59" s="1"/>
      <c r="D59" s="33" t="str">
        <f>IF(T!$D$2=T!$M$2,M57,IF(T!$D$2=T!$N$2,N57,O57))</f>
        <v>VAR.P</v>
      </c>
      <c r="E59" s="18">
        <f>_xlfn.VAR.P(data)</f>
        <v>1827.9337749999995</v>
      </c>
      <c r="F59" s="53">
        <f>VARP(data)</f>
        <v>1827.9337749999995</v>
      </c>
      <c r="G59" s="1"/>
      <c r="H59" s="1"/>
      <c r="I59" s="1"/>
      <c r="J59" s="50">
        <f t="shared" si="0"/>
        <v>242855782416</v>
      </c>
      <c r="K59" s="50">
        <f t="shared" si="1"/>
        <v>8061574.660361982</v>
      </c>
      <c r="L59" s="1"/>
      <c r="M59" s="3" t="s">
        <v>151</v>
      </c>
      <c r="N59" s="4" t="s">
        <v>152</v>
      </c>
      <c r="O59" s="5" t="s">
        <v>153</v>
      </c>
    </row>
    <row r="60" spans="1:15" ht="45" x14ac:dyDescent="0.25">
      <c r="A60" s="1"/>
      <c r="B60" s="9">
        <v>650</v>
      </c>
      <c r="C60" s="1"/>
      <c r="D60" s="27" t="str">
        <f>IF(T!$D$2=T!$M$2,M58,IF(T!$D$2=T!$N$2,N58,O58))</f>
        <v xml:space="preserve">  2.5. the standard deviation of the data set AS A POPULATION (variance without Bessel's correction)</v>
      </c>
      <c r="E60" s="44"/>
      <c r="F60" s="1"/>
      <c r="G60" s="1"/>
      <c r="H60" s="1"/>
      <c r="I60" s="1"/>
      <c r="J60" s="50">
        <f t="shared" si="0"/>
        <v>178506250000</v>
      </c>
      <c r="K60" s="50">
        <f t="shared" si="1"/>
        <v>2.7265440006247301</v>
      </c>
      <c r="L60" s="1"/>
      <c r="M60" s="3" t="s">
        <v>154</v>
      </c>
      <c r="N60" s="4" t="s">
        <v>155</v>
      </c>
      <c r="O60" s="5" t="s">
        <v>156</v>
      </c>
    </row>
    <row r="61" spans="1:15" ht="15" x14ac:dyDescent="0.25">
      <c r="A61" s="1"/>
      <c r="B61" s="9">
        <v>639</v>
      </c>
      <c r="C61" s="1"/>
      <c r="D61" s="33" t="str">
        <f>IF(T!$D$2=T!$M$2,M60,IF(T!$D$2=T!$N$2,N60,O60))</f>
        <v>STDEV.P</v>
      </c>
      <c r="E61" s="18">
        <f>_xlfn.STDEV.P(data)</f>
        <v>42.754342177140316</v>
      </c>
      <c r="F61" s="53">
        <f>STDEVP(data)</f>
        <v>42.754342177140316</v>
      </c>
      <c r="G61" s="1"/>
      <c r="H61" s="1"/>
      <c r="I61" s="1"/>
      <c r="J61" s="50">
        <f t="shared" si="0"/>
        <v>166726039041</v>
      </c>
      <c r="K61" s="50">
        <f t="shared" si="1"/>
        <v>8907.8156325007403</v>
      </c>
      <c r="L61" s="1"/>
      <c r="M61" s="3" t="s">
        <v>157</v>
      </c>
      <c r="N61" s="4" t="s">
        <v>158</v>
      </c>
      <c r="O61" s="5" t="s">
        <v>159</v>
      </c>
    </row>
    <row r="62" spans="1:15" ht="15" x14ac:dyDescent="0.25">
      <c r="A62" s="1"/>
      <c r="B62" s="9">
        <v>732</v>
      </c>
      <c r="C62" s="1"/>
      <c r="D62" s="35" t="str">
        <f>IF(T!$D$2=T!$M$2,M61,IF(T!$D$2=T!$N$2,N61,O61))</f>
        <v>from the variance</v>
      </c>
      <c r="E62" s="18">
        <f>SQRT(E59)</f>
        <v>42.754342177140316</v>
      </c>
      <c r="F62" s="1"/>
      <c r="G62" s="1"/>
      <c r="H62" s="1"/>
      <c r="I62" s="1"/>
      <c r="J62" s="50">
        <f t="shared" si="0"/>
        <v>287107358976</v>
      </c>
      <c r="K62" s="50">
        <f t="shared" si="1"/>
        <v>48113523.226256929</v>
      </c>
      <c r="L62" s="1"/>
      <c r="M62" s="3" t="s">
        <v>160</v>
      </c>
      <c r="N62" s="4" t="s">
        <v>161</v>
      </c>
      <c r="O62" s="5" t="s">
        <v>162</v>
      </c>
    </row>
    <row r="63" spans="1:15" ht="15" x14ac:dyDescent="0.25">
      <c r="A63" s="1"/>
      <c r="B63" s="9">
        <v>644</v>
      </c>
      <c r="C63" s="1"/>
      <c r="D63" s="20"/>
      <c r="E63" s="1"/>
      <c r="F63" s="1"/>
      <c r="G63" s="1"/>
      <c r="H63" s="1"/>
      <c r="I63" s="1"/>
      <c r="J63" s="50">
        <f t="shared" si="0"/>
        <v>172005949696</v>
      </c>
      <c r="K63" s="50">
        <f t="shared" si="1"/>
        <v>494.22736500063837</v>
      </c>
      <c r="L63" s="1"/>
      <c r="M63" s="3" t="s">
        <v>424</v>
      </c>
      <c r="N63" s="4" t="s">
        <v>425</v>
      </c>
      <c r="O63" s="5" t="s">
        <v>426</v>
      </c>
    </row>
    <row r="64" spans="1:15" ht="15" x14ac:dyDescent="0.25">
      <c r="A64" s="1"/>
      <c r="B64" s="9">
        <v>606</v>
      </c>
      <c r="C64" s="1"/>
      <c r="D64" s="27" t="str">
        <f>IF(T!$D$2=T!$M$2,M62,IF(T!$D$2=T!$N$2,N62,O62))</f>
        <v>3. skewness</v>
      </c>
      <c r="E64" s="18">
        <f>SKEW(data)</f>
        <v>-0.4384225168018509</v>
      </c>
      <c r="F64" s="1"/>
      <c r="G64" s="30"/>
      <c r="H64" s="1"/>
      <c r="I64" s="1"/>
      <c r="J64" s="50">
        <f t="shared" si="0"/>
        <v>134862279696</v>
      </c>
      <c r="K64" s="50">
        <f t="shared" si="1"/>
        <v>3329060.1550980103</v>
      </c>
      <c r="L64" s="1"/>
      <c r="M64" s="3" t="s">
        <v>163</v>
      </c>
      <c r="N64" s="4" t="s">
        <v>164</v>
      </c>
      <c r="O64" s="5" t="s">
        <v>165</v>
      </c>
    </row>
    <row r="65" spans="1:15" ht="30" x14ac:dyDescent="0.25">
      <c r="A65" s="1"/>
      <c r="B65" s="9">
        <v>676</v>
      </c>
      <c r="C65" s="1"/>
      <c r="D65" s="35" t="str">
        <f>IF(T!$D$2=T!$M$2,M63,IF(T!$D$2=T!$N$2,N63,O63))</f>
        <v>Is the distribution skewed to the right (1) or to the left (2)?</v>
      </c>
      <c r="E65" s="45">
        <v>2</v>
      </c>
      <c r="F65" s="1"/>
      <c r="G65" s="52"/>
      <c r="H65" s="1"/>
      <c r="I65" s="1"/>
      <c r="J65" s="50">
        <f t="shared" si="0"/>
        <v>208827064576</v>
      </c>
      <c r="K65" s="50">
        <f t="shared" si="1"/>
        <v>554237.40485299809</v>
      </c>
      <c r="L65" s="1"/>
      <c r="M65" s="3" t="s">
        <v>166</v>
      </c>
      <c r="N65" s="4" t="s">
        <v>167</v>
      </c>
      <c r="O65" s="5" t="s">
        <v>168</v>
      </c>
    </row>
    <row r="66" spans="1:15" ht="15" x14ac:dyDescent="0.25">
      <c r="A66" s="1"/>
      <c r="B66" s="9">
        <v>687</v>
      </c>
      <c r="C66" s="1"/>
      <c r="D66" s="20"/>
      <c r="E66" s="1"/>
      <c r="F66" s="1"/>
      <c r="G66" s="30"/>
      <c r="H66" s="1"/>
      <c r="I66" s="1"/>
      <c r="J66" s="50">
        <f t="shared" si="0"/>
        <v>222754736961</v>
      </c>
      <c r="K66" s="50">
        <f t="shared" si="1"/>
        <v>2148397.3386644931</v>
      </c>
      <c r="L66" s="1"/>
      <c r="M66" s="3" t="s">
        <v>427</v>
      </c>
      <c r="N66" s="4" t="s">
        <v>428</v>
      </c>
      <c r="O66" s="5" t="s">
        <v>429</v>
      </c>
    </row>
    <row r="67" spans="1:15" ht="14.1" customHeight="1" x14ac:dyDescent="0.25">
      <c r="A67" s="1"/>
      <c r="B67" s="9">
        <v>666</v>
      </c>
      <c r="C67" s="1"/>
      <c r="D67" s="27" t="str">
        <f>IF(T!$D$2=T!$M$2,M65,IF(T!$D$2=T!$N$2,N65,O65))</f>
        <v>4. kurtosis (also: peakedness)</v>
      </c>
      <c r="E67" s="18">
        <f>KURT(data)</f>
        <v>0.55218895769604082</v>
      </c>
      <c r="F67" s="1"/>
      <c r="G67" s="1"/>
      <c r="H67" s="1"/>
      <c r="I67" s="1"/>
      <c r="J67" s="50">
        <f t="shared" ref="J67:J130" si="2">B67^$F$86</f>
        <v>196741925136</v>
      </c>
      <c r="K67" s="50">
        <f t="shared" ref="K67:K130" si="3">(B67-$E$16)^$F$86</f>
        <v>89264.244887999957</v>
      </c>
      <c r="L67" s="1"/>
      <c r="M67" s="3" t="s">
        <v>169</v>
      </c>
      <c r="N67" s="4" t="s">
        <v>170</v>
      </c>
      <c r="O67" s="5" t="s">
        <v>171</v>
      </c>
    </row>
    <row r="68" spans="1:15" ht="30" x14ac:dyDescent="0.25">
      <c r="A68" s="1"/>
      <c r="B68" s="9">
        <v>685</v>
      </c>
      <c r="C68" s="1"/>
      <c r="D68" s="35" t="str">
        <f>IF(T!$D$2=T!$M$2,M66,IF(T!$D$2=T!$N$2,N66,O66))</f>
        <v>Is the distribution leptokurtic ("peaked", 1) or platykurtic ("flat", 2)?</v>
      </c>
      <c r="E68" s="45">
        <v>1</v>
      </c>
      <c r="F68" s="1"/>
      <c r="G68" s="1"/>
      <c r="H68" s="1"/>
      <c r="I68" s="1"/>
      <c r="J68" s="50">
        <f t="shared" si="2"/>
        <v>220172100625</v>
      </c>
      <c r="K68" s="50">
        <f t="shared" si="3"/>
        <v>1733438.7856714944</v>
      </c>
      <c r="L68" s="1"/>
      <c r="M68" s="3" t="s">
        <v>172</v>
      </c>
      <c r="N68" s="4" t="s">
        <v>173</v>
      </c>
      <c r="O68" s="5" t="s">
        <v>174</v>
      </c>
    </row>
    <row r="69" spans="1:15" ht="15" x14ac:dyDescent="0.25">
      <c r="A69" s="1"/>
      <c r="B69" s="9">
        <v>678</v>
      </c>
      <c r="C69" s="1"/>
      <c r="D69" s="1"/>
      <c r="E69" s="1"/>
      <c r="F69" s="1"/>
      <c r="G69" s="1"/>
      <c r="H69" s="1"/>
      <c r="I69" s="1"/>
      <c r="J69" s="50">
        <f t="shared" si="2"/>
        <v>211309379856</v>
      </c>
      <c r="K69" s="50">
        <f t="shared" si="3"/>
        <v>735497.01324599748</v>
      </c>
      <c r="L69" s="1"/>
      <c r="M69" s="3" t="s">
        <v>175</v>
      </c>
      <c r="N69" s="4" t="s">
        <v>176</v>
      </c>
      <c r="O69" s="5" t="s">
        <v>177</v>
      </c>
    </row>
    <row r="70" spans="1:15" ht="15" x14ac:dyDescent="0.25">
      <c r="A70" s="1"/>
      <c r="B70" s="9">
        <v>707</v>
      </c>
      <c r="C70" s="1"/>
      <c r="D70" s="27" t="str">
        <f>IF(T!$D$2=T!$M$2,M68,IF(T!$D$2=T!$N$2,N68,O68))</f>
        <v>5. moments</v>
      </c>
      <c r="E70" s="44"/>
      <c r="F70" s="1"/>
      <c r="G70" s="1"/>
      <c r="H70" s="1"/>
      <c r="I70" s="1"/>
      <c r="J70" s="50">
        <f t="shared" si="2"/>
        <v>249849022801</v>
      </c>
      <c r="K70" s="50">
        <f t="shared" si="3"/>
        <v>11540568.502594475</v>
      </c>
      <c r="L70" s="1"/>
      <c r="M70" s="3" t="s">
        <v>178</v>
      </c>
      <c r="N70" s="4" t="s">
        <v>179</v>
      </c>
      <c r="O70" s="5" t="s">
        <v>180</v>
      </c>
    </row>
    <row r="71" spans="1:15" ht="15" x14ac:dyDescent="0.25">
      <c r="A71" s="1"/>
      <c r="B71" s="9">
        <v>597</v>
      </c>
      <c r="C71" s="1"/>
      <c r="D71" s="27" t="str">
        <f>IF(T!$D$2=T!$M$2,M69,IF(T!$D$2=T!$N$2,N69,O69))</f>
        <v xml:space="preserve">  5.1. moments (about zero)</v>
      </c>
      <c r="E71" s="44"/>
      <c r="F71" s="1"/>
      <c r="G71" s="1"/>
      <c r="H71" s="1"/>
      <c r="I71" s="1"/>
      <c r="J71" s="50">
        <f t="shared" si="2"/>
        <v>127027375281</v>
      </c>
      <c r="K71" s="50">
        <f t="shared" si="3"/>
        <v>7152635.8659795178</v>
      </c>
      <c r="L71" s="1"/>
      <c r="M71" s="3" t="s">
        <v>181</v>
      </c>
      <c r="N71" s="4" t="s">
        <v>182</v>
      </c>
      <c r="O71" s="5" t="s">
        <v>183</v>
      </c>
    </row>
    <row r="72" spans="1:15" ht="42" customHeight="1" x14ac:dyDescent="0.25">
      <c r="A72" s="1"/>
      <c r="B72" s="9">
        <v>644</v>
      </c>
      <c r="C72" s="1"/>
      <c r="D72" s="38" t="s">
        <v>184</v>
      </c>
      <c r="E72" s="18">
        <v>1</v>
      </c>
      <c r="F72" s="2" t="str">
        <f>IF(T!$D$2=T!$M$2,M70,IF(T!$D$2=T!$N$2,N70,O70))</f>
        <v>always 1</v>
      </c>
      <c r="G72" s="1"/>
      <c r="H72" s="1"/>
      <c r="I72" s="1"/>
      <c r="J72" s="50">
        <f t="shared" si="2"/>
        <v>172005949696</v>
      </c>
      <c r="K72" s="50">
        <f t="shared" si="3"/>
        <v>494.22736500063837</v>
      </c>
      <c r="L72" s="1"/>
      <c r="M72" s="3" t="s">
        <v>185</v>
      </c>
      <c r="N72" s="4" t="s">
        <v>186</v>
      </c>
      <c r="O72" s="5" t="s">
        <v>187</v>
      </c>
    </row>
    <row r="73" spans="1:15" ht="15" x14ac:dyDescent="0.25">
      <c r="A73" s="1"/>
      <c r="B73" s="9">
        <v>567</v>
      </c>
      <c r="C73" s="1"/>
      <c r="D73" s="38" t="s">
        <v>188</v>
      </c>
      <c r="E73" s="18">
        <v>648.71500000000003</v>
      </c>
      <c r="F73" s="2" t="str">
        <f>IF(T!$D$2=T!$M$2,M71,IF(T!$D$2=T!$N$2,N71,O71))</f>
        <v>mean</v>
      </c>
      <c r="G73" s="1"/>
      <c r="H73" s="1"/>
      <c r="I73" s="1"/>
      <c r="J73" s="50">
        <f t="shared" si="2"/>
        <v>103355177121</v>
      </c>
      <c r="K73" s="50">
        <f t="shared" si="3"/>
        <v>44586885.835084572</v>
      </c>
      <c r="L73" s="1"/>
      <c r="M73" s="3" t="s">
        <v>189</v>
      </c>
      <c r="N73" s="4" t="s">
        <v>190</v>
      </c>
      <c r="O73" s="5" t="s">
        <v>191</v>
      </c>
    </row>
    <row r="74" spans="1:15" ht="15" x14ac:dyDescent="0.25">
      <c r="A74" s="1"/>
      <c r="B74" s="9">
        <v>632</v>
      </c>
      <c r="C74" s="1"/>
      <c r="D74" s="46" t="s">
        <v>192</v>
      </c>
      <c r="E74" s="18">
        <v>422659.08500000002</v>
      </c>
      <c r="F74" s="2" t="str">
        <f>IF(T!$D$2=T!$M$2,M72,IF(T!$D$2=T!$N$2,N72,O72))</f>
        <v>mean of squares</v>
      </c>
      <c r="G74" s="1"/>
      <c r="H74" s="1"/>
      <c r="I74" s="1"/>
      <c r="J74" s="50">
        <f t="shared" si="2"/>
        <v>159539531776</v>
      </c>
      <c r="K74" s="50">
        <f t="shared" si="3"/>
        <v>78059.456607001208</v>
      </c>
      <c r="L74" s="1"/>
      <c r="M74" s="3" t="s">
        <v>178</v>
      </c>
      <c r="N74" s="4" t="s">
        <v>179</v>
      </c>
      <c r="O74" s="5" t="s">
        <v>180</v>
      </c>
    </row>
    <row r="75" spans="1:15" ht="42" customHeight="1" x14ac:dyDescent="0.25">
      <c r="A75" s="1"/>
      <c r="B75" s="9">
        <v>543</v>
      </c>
      <c r="C75" s="1"/>
      <c r="D75" s="38" t="str">
        <f>IF(T!$D$2=T!$M$2,M73,IF(T!$D$2=T!$N$2,N73,O73))</f>
        <v xml:space="preserve">  5.2. central moments (about the mean)</v>
      </c>
      <c r="E75" s="43"/>
      <c r="F75" s="2"/>
      <c r="G75" s="1"/>
      <c r="H75" s="1"/>
      <c r="I75" s="1"/>
      <c r="J75" s="50">
        <f t="shared" si="2"/>
        <v>86935932801</v>
      </c>
      <c r="K75" s="50">
        <f t="shared" si="3"/>
        <v>124895403.81596866</v>
      </c>
      <c r="L75" s="1"/>
      <c r="M75" s="3" t="s">
        <v>193</v>
      </c>
      <c r="N75" s="4" t="s">
        <v>194</v>
      </c>
      <c r="O75" s="5" t="s">
        <v>195</v>
      </c>
    </row>
    <row r="76" spans="1:15" ht="15" x14ac:dyDescent="0.25">
      <c r="A76" s="1"/>
      <c r="B76" s="9">
        <v>666</v>
      </c>
      <c r="C76" s="1"/>
      <c r="D76" s="47" t="s">
        <v>184</v>
      </c>
      <c r="E76" s="18">
        <v>1</v>
      </c>
      <c r="F76" s="2" t="str">
        <f>IF(T!$D$2=T!$M$2,M74,IF(T!$D$2=T!$N$2,N74,O74))</f>
        <v>always 1</v>
      </c>
      <c r="G76" s="1"/>
      <c r="H76" s="1"/>
      <c r="I76" s="1"/>
      <c r="J76" s="50">
        <f t="shared" si="2"/>
        <v>196741925136</v>
      </c>
      <c r="K76" s="50">
        <f t="shared" si="3"/>
        <v>89264.244887999957</v>
      </c>
      <c r="L76" s="1"/>
      <c r="M76" s="3" t="s">
        <v>196</v>
      </c>
      <c r="N76" s="4" t="s">
        <v>197</v>
      </c>
      <c r="O76" s="5" t="s">
        <v>198</v>
      </c>
    </row>
    <row r="77" spans="1:15" ht="15" x14ac:dyDescent="0.25">
      <c r="A77" s="1"/>
      <c r="B77" s="9">
        <v>611</v>
      </c>
      <c r="C77" s="1"/>
      <c r="D77" s="47" t="s">
        <v>188</v>
      </c>
      <c r="E77" s="18">
        <v>-3.1832314562052491E-14</v>
      </c>
      <c r="F77" s="2" t="str">
        <f>IF(T!$D$2=T!$M$2,M75,IF(T!$D$2=T!$N$2,N75,O75))</f>
        <v>always 0 (the deviation is due to rounding error)</v>
      </c>
      <c r="G77" s="1"/>
      <c r="H77" s="1"/>
      <c r="I77" s="1"/>
      <c r="J77" s="50">
        <f t="shared" si="2"/>
        <v>139368569041</v>
      </c>
      <c r="K77" s="50">
        <f t="shared" si="3"/>
        <v>2023282.1413305071</v>
      </c>
      <c r="L77" s="1"/>
      <c r="M77" s="3" t="s">
        <v>199</v>
      </c>
      <c r="N77" s="4" t="s">
        <v>200</v>
      </c>
      <c r="O77" s="5" t="s">
        <v>201</v>
      </c>
    </row>
    <row r="78" spans="1:15" ht="15" x14ac:dyDescent="0.25">
      <c r="A78" s="1"/>
      <c r="B78" s="9">
        <v>722</v>
      </c>
      <c r="C78" s="1"/>
      <c r="D78" s="47" t="s">
        <v>192</v>
      </c>
      <c r="E78" s="18">
        <v>1827.9337749999995</v>
      </c>
      <c r="F78" s="2" t="str">
        <f>IF(T!$D$2=T!$M$2,M76,IF(T!$D$2=T!$N$2,N76,O76))</f>
        <v>variance (without Bessel's correction)</v>
      </c>
      <c r="G78" s="1"/>
      <c r="H78" s="1"/>
      <c r="I78" s="1"/>
      <c r="J78" s="50">
        <f t="shared" si="2"/>
        <v>271737008656</v>
      </c>
      <c r="K78" s="50">
        <f t="shared" si="3"/>
        <v>28844324.234291948</v>
      </c>
      <c r="L78" s="1"/>
      <c r="M78" s="3" t="s">
        <v>202</v>
      </c>
      <c r="N78" s="4" t="s">
        <v>203</v>
      </c>
      <c r="O78" s="5" t="s">
        <v>204</v>
      </c>
    </row>
    <row r="79" spans="1:15" ht="15" x14ac:dyDescent="0.25">
      <c r="A79" s="1"/>
      <c r="B79" s="9">
        <v>710</v>
      </c>
      <c r="C79" s="1"/>
      <c r="D79" s="47" t="s">
        <v>205</v>
      </c>
      <c r="E79" s="18">
        <v>-34006.128473250174</v>
      </c>
      <c r="F79" s="2" t="str">
        <f>IF(T!$D$2=T!$M$2,M77,IF(T!$D$2=T!$N$2,N77,O77))</f>
        <v>used to calculate skewness</v>
      </c>
      <c r="G79" s="1"/>
      <c r="H79" s="1"/>
      <c r="I79" s="1"/>
      <c r="J79" s="50">
        <f t="shared" si="2"/>
        <v>254116810000</v>
      </c>
      <c r="K79" s="50">
        <f t="shared" si="3"/>
        <v>14106418.424333973</v>
      </c>
      <c r="L79" s="1"/>
      <c r="M79" s="3" t="s">
        <v>206</v>
      </c>
      <c r="N79" s="4" t="s">
        <v>207</v>
      </c>
      <c r="O79" s="5" t="s">
        <v>208</v>
      </c>
    </row>
    <row r="80" spans="1:15" ht="15" x14ac:dyDescent="0.25">
      <c r="A80" s="1"/>
      <c r="B80" s="9">
        <v>676</v>
      </c>
      <c r="C80" s="1"/>
      <c r="D80" s="48" t="s">
        <v>209</v>
      </c>
      <c r="E80" s="18">
        <v>11723531.638417754</v>
      </c>
      <c r="F80" s="2" t="str">
        <f>IF(T!$D$2=T!$M$2,M78,IF(T!$D$2=T!$N$2,N78,O78))</f>
        <v>used to calculate kurtosis</v>
      </c>
      <c r="G80" s="1"/>
      <c r="H80" s="1"/>
      <c r="I80" s="1"/>
      <c r="J80" s="50">
        <f t="shared" si="2"/>
        <v>208827064576</v>
      </c>
      <c r="K80" s="50">
        <f t="shared" si="3"/>
        <v>554237.40485299809</v>
      </c>
      <c r="L80" s="1"/>
      <c r="M80" s="3" t="s">
        <v>210</v>
      </c>
      <c r="N80" s="4" t="s">
        <v>211</v>
      </c>
      <c r="O80" s="5" t="s">
        <v>212</v>
      </c>
    </row>
    <row r="81" spans="1:15" ht="15" x14ac:dyDescent="0.25">
      <c r="A81" s="1"/>
      <c r="B81" s="9">
        <v>696</v>
      </c>
      <c r="C81" s="1"/>
      <c r="D81" s="1"/>
      <c r="E81" s="1"/>
      <c r="F81" s="1"/>
      <c r="G81" s="1"/>
      <c r="H81" s="1"/>
      <c r="I81" s="1"/>
      <c r="J81" s="50">
        <f t="shared" si="2"/>
        <v>234658861056</v>
      </c>
      <c r="K81" s="50">
        <f t="shared" si="3"/>
        <v>4999120.1347829876</v>
      </c>
      <c r="L81" s="1"/>
      <c r="M81" s="3" t="s">
        <v>213</v>
      </c>
      <c r="N81" s="4" t="s">
        <v>214</v>
      </c>
      <c r="O81" s="5" t="s">
        <v>215</v>
      </c>
    </row>
    <row r="82" spans="1:15" ht="15" x14ac:dyDescent="0.25">
      <c r="A82" s="1"/>
      <c r="B82" s="9">
        <v>647</v>
      </c>
      <c r="C82" s="1"/>
      <c r="D82" s="1"/>
      <c r="E82" s="1"/>
      <c r="F82" s="1"/>
      <c r="G82" s="1"/>
      <c r="H82" s="1"/>
      <c r="I82" s="1"/>
      <c r="J82" s="50">
        <f t="shared" si="2"/>
        <v>175233494881</v>
      </c>
      <c r="K82" s="50">
        <f t="shared" si="3"/>
        <v>8.6508045006256413</v>
      </c>
      <c r="L82" s="1"/>
      <c r="M82" s="3" t="str">
        <f>IF(T!$D$2=T!$M$2,M81,IF(T!$D$2=T!$N$2,N81,O81))</f>
        <v>The minimum and the maximum  cannot be calculated with the exclusive functions.</v>
      </c>
    </row>
    <row r="83" spans="1:15" ht="15" x14ac:dyDescent="0.25">
      <c r="A83" s="1"/>
      <c r="B83" s="9">
        <v>681</v>
      </c>
      <c r="C83" s="1"/>
      <c r="D83" s="1"/>
      <c r="E83" s="1"/>
      <c r="F83" s="1"/>
      <c r="G83" s="1"/>
      <c r="H83" s="1"/>
      <c r="I83" s="1"/>
      <c r="J83" s="50">
        <f t="shared" si="2"/>
        <v>215074265121</v>
      </c>
      <c r="K83" s="50">
        <f t="shared" si="3"/>
        <v>1086433.5360854962</v>
      </c>
      <c r="L83" s="1"/>
      <c r="M83" s="3" t="s">
        <v>216</v>
      </c>
      <c r="N83" s="4" t="s">
        <v>217</v>
      </c>
      <c r="O83" s="5" t="s">
        <v>218</v>
      </c>
    </row>
    <row r="84" spans="1:15" ht="30" x14ac:dyDescent="0.25">
      <c r="A84" s="1"/>
      <c r="B84" s="9">
        <v>646</v>
      </c>
      <c r="C84" s="1"/>
      <c r="D84" s="1"/>
      <c r="E84" s="1"/>
      <c r="F84" s="54" t="s">
        <v>224</v>
      </c>
      <c r="G84" s="55" t="str">
        <f>IF(T!$D$2=T!$M$2,M79,IF(T!$D$2=T!$N$2,N79,O79))</f>
        <v>k-th moment</v>
      </c>
      <c r="H84" s="55" t="str">
        <f>IF(T!$D$2=T!$M$2,M80,IF(T!$D$2=T!$N$2,N80,O80))</f>
        <v>k-th central moment</v>
      </c>
      <c r="I84" s="1"/>
      <c r="J84" s="50">
        <f t="shared" si="2"/>
        <v>174152643856</v>
      </c>
      <c r="K84" s="50">
        <f t="shared" si="3"/>
        <v>54.334958000627552</v>
      </c>
      <c r="L84" s="1"/>
      <c r="M84" s="3" t="str">
        <f>IF(T!$D$2=T!$M$2,M83,IF(T!$D$2=T!$N$2,N83,O83))</f>
        <v>Attention! The variance and the standard deviation are ESTIMATED with not these formulae but with the ones with corrections (i.e. having n–1 instead of n in the denominator).</v>
      </c>
    </row>
    <row r="85" spans="1:15" ht="18.75" x14ac:dyDescent="0.35">
      <c r="A85" s="1"/>
      <c r="B85" s="9">
        <v>689</v>
      </c>
      <c r="C85" s="1"/>
      <c r="D85" s="1"/>
      <c r="E85" s="1"/>
      <c r="F85" s="49"/>
      <c r="G85" s="56" t="s">
        <v>225</v>
      </c>
      <c r="H85" s="56" t="s">
        <v>226</v>
      </c>
      <c r="I85" s="1"/>
      <c r="J85" s="50">
        <f t="shared" si="2"/>
        <v>225360027841</v>
      </c>
      <c r="K85" s="50">
        <f t="shared" si="3"/>
        <v>2633743.4704574919</v>
      </c>
      <c r="L85" s="1"/>
      <c r="M85" s="3" t="s">
        <v>219</v>
      </c>
      <c r="N85" s="4" t="s">
        <v>220</v>
      </c>
      <c r="O85" s="5" t="s">
        <v>221</v>
      </c>
    </row>
    <row r="86" spans="1:15" ht="15" x14ac:dyDescent="0.25">
      <c r="A86" s="1"/>
      <c r="B86" s="9">
        <v>649</v>
      </c>
      <c r="C86" s="1"/>
      <c r="D86" s="1"/>
      <c r="E86" s="1"/>
      <c r="F86" s="56">
        <v>4</v>
      </c>
      <c r="G86" s="56">
        <f>SUM(J3:J202)/E8</f>
        <v>181637849079.845</v>
      </c>
      <c r="H86" s="56">
        <f>SUM(K3:K202)/E8</f>
        <v>11723531.638417754</v>
      </c>
      <c r="I86" s="1"/>
      <c r="J86" s="50">
        <f t="shared" si="2"/>
        <v>177410282401</v>
      </c>
      <c r="K86" s="50">
        <f t="shared" si="3"/>
        <v>6.5975006249970524E-3</v>
      </c>
      <c r="L86" s="1"/>
      <c r="M86" s="3" t="str">
        <f>IF(T!$D$2=T!$M$2,M85,IF(T!$D$2=T!$N$2,N85,O85))</f>
        <v>When k is changed, the formula in cell G101 gives the k-th moment (around zero) and the one in cell H101 gives the k-th central moment (around the mean).</v>
      </c>
    </row>
    <row r="87" spans="1:15" ht="15" x14ac:dyDescent="0.25">
      <c r="A87" s="1"/>
      <c r="B87" s="9">
        <v>705</v>
      </c>
      <c r="C87" s="1"/>
      <c r="D87" s="1"/>
      <c r="E87" s="1"/>
      <c r="F87" s="1"/>
      <c r="G87" s="1"/>
      <c r="H87" s="1"/>
      <c r="I87" s="1"/>
      <c r="J87" s="50">
        <f t="shared" si="2"/>
        <v>247033850625</v>
      </c>
      <c r="K87" s="50">
        <f t="shared" si="3"/>
        <v>10036231.761601478</v>
      </c>
      <c r="L87" s="1"/>
    </row>
    <row r="88" spans="1:15" ht="15" x14ac:dyDescent="0.25">
      <c r="A88" s="1"/>
      <c r="B88" s="9">
        <v>655</v>
      </c>
      <c r="C88" s="1"/>
      <c r="D88" s="1"/>
      <c r="E88" s="1"/>
      <c r="F88" s="1"/>
      <c r="G88" s="1"/>
      <c r="H88" s="1"/>
      <c r="I88" s="1"/>
      <c r="J88" s="50">
        <f t="shared" si="2"/>
        <v>184062450625</v>
      </c>
      <c r="K88" s="50">
        <f t="shared" si="3"/>
        <v>1560.3467765005935</v>
      </c>
      <c r="L88" s="1"/>
    </row>
    <row r="89" spans="1:15" ht="15" x14ac:dyDescent="0.25">
      <c r="A89" s="1"/>
      <c r="B89" s="9">
        <v>678</v>
      </c>
      <c r="C89" s="1"/>
      <c r="D89" s="1"/>
      <c r="E89" s="1"/>
      <c r="F89" s="1"/>
      <c r="G89" s="1"/>
      <c r="H89" s="1"/>
      <c r="I89" s="1"/>
      <c r="J89" s="50">
        <f t="shared" si="2"/>
        <v>211309379856</v>
      </c>
      <c r="K89" s="50">
        <f t="shared" si="3"/>
        <v>735497.01324599748</v>
      </c>
      <c r="L89" s="1"/>
    </row>
    <row r="90" spans="1:15" ht="15" x14ac:dyDescent="0.25">
      <c r="A90" s="1"/>
      <c r="B90" s="9">
        <v>696</v>
      </c>
      <c r="C90" s="1"/>
      <c r="D90" s="1"/>
      <c r="E90" s="1"/>
      <c r="F90" s="1"/>
      <c r="G90" s="1"/>
      <c r="H90" s="1"/>
      <c r="I90" s="1"/>
      <c r="J90" s="50">
        <f t="shared" si="2"/>
        <v>234658861056</v>
      </c>
      <c r="K90" s="50">
        <f t="shared" si="3"/>
        <v>4999120.1347829876</v>
      </c>
      <c r="L90" s="1"/>
    </row>
    <row r="91" spans="1:15" ht="15" x14ac:dyDescent="0.25">
      <c r="A91" s="1"/>
      <c r="B91" s="9">
        <v>643</v>
      </c>
      <c r="C91" s="1"/>
      <c r="D91" s="1"/>
      <c r="E91" s="1"/>
      <c r="F91" s="1"/>
      <c r="G91" s="1"/>
      <c r="H91" s="1"/>
      <c r="I91" s="1"/>
      <c r="J91" s="50">
        <f t="shared" si="2"/>
        <v>170940075601</v>
      </c>
      <c r="K91" s="50">
        <f t="shared" si="3"/>
        <v>1066.7556185006488</v>
      </c>
      <c r="L91" s="1"/>
    </row>
    <row r="92" spans="1:15" ht="15" x14ac:dyDescent="0.25">
      <c r="A92" s="1"/>
      <c r="B92" s="9">
        <v>709</v>
      </c>
      <c r="C92" s="1"/>
      <c r="D92" s="1"/>
      <c r="E92" s="1"/>
      <c r="F92" s="1"/>
      <c r="G92" s="1"/>
      <c r="H92" s="1"/>
      <c r="I92" s="1"/>
      <c r="J92" s="50">
        <f t="shared" si="2"/>
        <v>252688187761</v>
      </c>
      <c r="K92" s="50">
        <f t="shared" si="3"/>
        <v>13208000.022387473</v>
      </c>
      <c r="L92" s="1"/>
    </row>
    <row r="93" spans="1:15" ht="15" x14ac:dyDescent="0.25">
      <c r="A93" s="1"/>
      <c r="B93" s="9">
        <v>670</v>
      </c>
      <c r="C93" s="1"/>
      <c r="D93" s="1"/>
      <c r="E93" s="1"/>
      <c r="F93" s="1"/>
      <c r="G93" s="1"/>
      <c r="H93" s="1"/>
      <c r="I93" s="1"/>
      <c r="J93" s="50">
        <f t="shared" si="2"/>
        <v>201511210000</v>
      </c>
      <c r="K93" s="50">
        <f t="shared" si="3"/>
        <v>205255.41247399937</v>
      </c>
      <c r="L93" s="1"/>
    </row>
    <row r="94" spans="1:15" ht="15" x14ac:dyDescent="0.25">
      <c r="A94" s="1"/>
      <c r="B94" s="9">
        <v>685</v>
      </c>
      <c r="C94" s="1"/>
      <c r="D94" s="1"/>
      <c r="E94" s="1"/>
      <c r="F94" s="1"/>
      <c r="G94" s="1"/>
      <c r="H94" s="1"/>
      <c r="I94" s="1"/>
      <c r="J94" s="50">
        <f t="shared" si="2"/>
        <v>220172100625</v>
      </c>
      <c r="K94" s="50">
        <f t="shared" si="3"/>
        <v>1733438.7856714944</v>
      </c>
      <c r="L94" s="1"/>
    </row>
    <row r="95" spans="1:15" ht="15" x14ac:dyDescent="0.25">
      <c r="A95" s="1"/>
      <c r="B95" s="9">
        <v>625</v>
      </c>
      <c r="C95" s="1"/>
      <c r="D95" s="1"/>
      <c r="E95" s="1"/>
      <c r="F95" s="1"/>
      <c r="G95" s="1"/>
      <c r="H95" s="1"/>
      <c r="I95" s="1"/>
      <c r="J95" s="50">
        <f t="shared" si="2"/>
        <v>152587890625</v>
      </c>
      <c r="K95" s="50">
        <f t="shared" si="3"/>
        <v>316295.13788150233</v>
      </c>
      <c r="L95" s="1"/>
    </row>
    <row r="96" spans="1:15" ht="15" x14ac:dyDescent="0.25">
      <c r="A96" s="1"/>
      <c r="B96" s="9">
        <v>662</v>
      </c>
      <c r="C96" s="1"/>
      <c r="D96" s="1"/>
      <c r="E96" s="1"/>
      <c r="F96" s="1"/>
      <c r="G96" s="1"/>
      <c r="H96" s="1"/>
      <c r="I96" s="1"/>
      <c r="J96" s="50">
        <f t="shared" si="2"/>
        <v>192057803536</v>
      </c>
      <c r="K96" s="50">
        <f t="shared" si="3"/>
        <v>31149.152502000328</v>
      </c>
      <c r="L96" s="1"/>
    </row>
    <row r="97" spans="1:12" ht="15" x14ac:dyDescent="0.25">
      <c r="A97" s="1"/>
      <c r="B97" s="9">
        <v>694</v>
      </c>
      <c r="C97" s="1"/>
      <c r="D97" s="1"/>
      <c r="E97" s="1"/>
      <c r="F97" s="1"/>
      <c r="G97" s="1"/>
      <c r="H97" s="1"/>
      <c r="I97" s="1"/>
      <c r="J97" s="50">
        <f t="shared" si="2"/>
        <v>231973236496</v>
      </c>
      <c r="K97" s="50">
        <f t="shared" si="3"/>
        <v>4205498.5571899898</v>
      </c>
      <c r="L97" s="1"/>
    </row>
    <row r="98" spans="1:12" ht="15" x14ac:dyDescent="0.25">
      <c r="A98" s="1"/>
      <c r="B98" s="9">
        <v>690</v>
      </c>
      <c r="C98" s="1"/>
      <c r="D98" s="1"/>
      <c r="E98" s="1"/>
      <c r="F98" s="1"/>
      <c r="G98" s="1"/>
      <c r="H98" s="1"/>
      <c r="I98" s="1"/>
      <c r="J98" s="50">
        <f t="shared" si="2"/>
        <v>226671210000</v>
      </c>
      <c r="K98" s="50">
        <f t="shared" si="3"/>
        <v>2905153.9784039916</v>
      </c>
      <c r="L98" s="1"/>
    </row>
    <row r="99" spans="1:12" ht="15" x14ac:dyDescent="0.25">
      <c r="A99" s="1"/>
      <c r="B99" s="9">
        <v>601</v>
      </c>
      <c r="C99" s="1"/>
      <c r="D99" s="1"/>
      <c r="E99" s="1"/>
      <c r="F99" s="1"/>
      <c r="G99" s="1"/>
      <c r="H99" s="1"/>
      <c r="I99" s="1"/>
      <c r="J99" s="50">
        <f t="shared" si="2"/>
        <v>130466162401</v>
      </c>
      <c r="K99" s="50">
        <f t="shared" si="3"/>
        <v>5183459.5363655137</v>
      </c>
      <c r="L99" s="1"/>
    </row>
    <row r="100" spans="1:12" ht="15" x14ac:dyDescent="0.25">
      <c r="A100" s="1"/>
      <c r="B100" s="9">
        <v>636</v>
      </c>
      <c r="C100" s="1"/>
      <c r="D100" s="1"/>
      <c r="E100" s="1"/>
      <c r="F100" s="1"/>
      <c r="G100" s="1"/>
      <c r="H100" s="1"/>
      <c r="I100" s="1"/>
      <c r="J100" s="50">
        <f t="shared" si="2"/>
        <v>163617014016</v>
      </c>
      <c r="K100" s="50">
        <f t="shared" si="3"/>
        <v>26137.584993000888</v>
      </c>
      <c r="L100" s="1"/>
    </row>
    <row r="101" spans="1:12" ht="15" x14ac:dyDescent="0.25">
      <c r="A101" s="1"/>
      <c r="B101" s="9">
        <v>662</v>
      </c>
      <c r="C101" s="1"/>
      <c r="D101" s="1"/>
      <c r="E101" s="1"/>
      <c r="F101" s="1"/>
      <c r="G101" s="1"/>
      <c r="H101" s="1"/>
      <c r="I101" s="1"/>
      <c r="J101" s="50">
        <f t="shared" si="2"/>
        <v>192057803536</v>
      </c>
      <c r="K101" s="50">
        <f t="shared" si="3"/>
        <v>31149.152502000328</v>
      </c>
      <c r="L101" s="1"/>
    </row>
    <row r="102" spans="1:12" ht="15" x14ac:dyDescent="0.25">
      <c r="A102" s="1"/>
      <c r="B102" s="9">
        <v>691</v>
      </c>
      <c r="C102" s="1"/>
      <c r="D102" s="1"/>
      <c r="E102" s="1"/>
      <c r="F102" s="1"/>
      <c r="G102" s="1"/>
      <c r="H102" s="1"/>
      <c r="I102" s="1"/>
      <c r="J102" s="50">
        <f t="shared" si="2"/>
        <v>227988105361</v>
      </c>
      <c r="K102" s="50">
        <f t="shared" si="3"/>
        <v>3197019.9010504908</v>
      </c>
      <c r="L102" s="1"/>
    </row>
    <row r="103" spans="1:12" ht="15" x14ac:dyDescent="0.25">
      <c r="A103" s="1"/>
      <c r="B103" s="9">
        <v>699</v>
      </c>
      <c r="C103" s="1"/>
      <c r="D103" s="1"/>
      <c r="E103" s="1"/>
      <c r="F103" s="1"/>
      <c r="G103" s="1"/>
      <c r="H103" s="1"/>
      <c r="I103" s="1"/>
      <c r="J103" s="50">
        <f t="shared" si="2"/>
        <v>238730937201</v>
      </c>
      <c r="K103" s="50">
        <f t="shared" si="3"/>
        <v>6393723.0114224842</v>
      </c>
      <c r="L103" s="1"/>
    </row>
    <row r="104" spans="1:12" ht="15" x14ac:dyDescent="0.25">
      <c r="A104" s="1"/>
      <c r="B104" s="9">
        <v>684</v>
      </c>
      <c r="C104" s="1"/>
      <c r="D104" s="1"/>
      <c r="E104" s="1"/>
      <c r="F104" s="1"/>
      <c r="G104" s="1"/>
      <c r="H104" s="1"/>
      <c r="I104" s="1"/>
      <c r="J104" s="50">
        <f t="shared" si="2"/>
        <v>218889236736</v>
      </c>
      <c r="K104" s="50">
        <f t="shared" si="3"/>
        <v>1550102.7512249949</v>
      </c>
      <c r="L104" s="1"/>
    </row>
    <row r="105" spans="1:12" ht="15" x14ac:dyDescent="0.25">
      <c r="A105" s="1"/>
      <c r="B105" s="9">
        <v>716</v>
      </c>
      <c r="C105" s="1"/>
      <c r="D105" s="1"/>
      <c r="E105" s="1"/>
      <c r="F105" s="1"/>
      <c r="G105" s="1"/>
      <c r="H105" s="1"/>
      <c r="I105" s="1"/>
      <c r="J105" s="50">
        <f t="shared" si="2"/>
        <v>262816174336</v>
      </c>
      <c r="K105" s="50">
        <f t="shared" si="3"/>
        <v>20496184.744712964</v>
      </c>
      <c r="L105" s="1"/>
    </row>
    <row r="106" spans="1:12" ht="15" x14ac:dyDescent="0.25">
      <c r="A106" s="1"/>
      <c r="B106" s="9">
        <v>654</v>
      </c>
      <c r="C106" s="1"/>
      <c r="D106" s="1"/>
      <c r="E106" s="1"/>
      <c r="F106" s="1"/>
      <c r="G106" s="1"/>
      <c r="H106" s="1"/>
      <c r="I106" s="1"/>
      <c r="J106" s="50">
        <f t="shared" si="2"/>
        <v>182940976656</v>
      </c>
      <c r="K106" s="50">
        <f t="shared" si="3"/>
        <v>780.15333000060627</v>
      </c>
      <c r="L106" s="1"/>
    </row>
    <row r="107" spans="1:12" ht="15" x14ac:dyDescent="0.25">
      <c r="A107" s="1"/>
      <c r="B107" s="9">
        <v>598</v>
      </c>
      <c r="C107" s="1"/>
      <c r="D107" s="1"/>
      <c r="E107" s="1"/>
      <c r="F107" s="1"/>
      <c r="G107" s="1"/>
      <c r="H107" s="1"/>
      <c r="I107" s="1"/>
      <c r="J107" s="50">
        <f t="shared" si="2"/>
        <v>127880620816</v>
      </c>
      <c r="K107" s="50">
        <f t="shared" si="3"/>
        <v>6615241.7415260179</v>
      </c>
      <c r="L107" s="1"/>
    </row>
    <row r="108" spans="1:12" ht="15" x14ac:dyDescent="0.25">
      <c r="A108" s="1"/>
      <c r="B108" s="9">
        <v>638</v>
      </c>
      <c r="C108" s="1"/>
      <c r="D108" s="1"/>
      <c r="E108" s="1"/>
      <c r="F108" s="1"/>
      <c r="G108" s="1"/>
      <c r="H108" s="1"/>
      <c r="I108" s="1"/>
      <c r="J108" s="50">
        <f t="shared" si="2"/>
        <v>165684817936</v>
      </c>
      <c r="K108" s="50">
        <f t="shared" si="3"/>
        <v>13181.61738600078</v>
      </c>
      <c r="L108" s="1"/>
    </row>
    <row r="109" spans="1:12" ht="15" x14ac:dyDescent="0.25">
      <c r="A109" s="1"/>
      <c r="B109" s="9">
        <v>688</v>
      </c>
      <c r="C109" s="1"/>
      <c r="D109" s="1"/>
      <c r="E109" s="1"/>
      <c r="F109" s="1"/>
      <c r="G109" s="1"/>
      <c r="H109" s="1"/>
      <c r="I109" s="1"/>
      <c r="J109" s="50">
        <f t="shared" si="2"/>
        <v>224054542336</v>
      </c>
      <c r="K109" s="50">
        <f t="shared" si="3"/>
        <v>2381809.5372109925</v>
      </c>
      <c r="L109" s="1"/>
    </row>
    <row r="110" spans="1:12" ht="15" x14ac:dyDescent="0.25">
      <c r="A110" s="1"/>
      <c r="B110" s="9">
        <v>638</v>
      </c>
      <c r="C110" s="1"/>
      <c r="D110" s="1"/>
      <c r="E110" s="1"/>
      <c r="F110" s="1"/>
      <c r="G110" s="1"/>
      <c r="H110" s="1"/>
      <c r="I110" s="1"/>
      <c r="J110" s="50">
        <f t="shared" si="2"/>
        <v>165684817936</v>
      </c>
      <c r="K110" s="50">
        <f t="shared" si="3"/>
        <v>13181.61738600078</v>
      </c>
      <c r="L110" s="1"/>
    </row>
    <row r="111" spans="1:12" ht="15" x14ac:dyDescent="0.25">
      <c r="A111" s="1"/>
      <c r="B111" s="9">
        <v>614</v>
      </c>
      <c r="C111" s="1"/>
      <c r="D111" s="1"/>
      <c r="E111" s="1"/>
      <c r="F111" s="1"/>
      <c r="G111" s="1"/>
      <c r="H111" s="1"/>
      <c r="I111" s="1"/>
      <c r="J111" s="50">
        <f t="shared" si="2"/>
        <v>142125984016</v>
      </c>
      <c r="K111" s="50">
        <f t="shared" si="3"/>
        <v>1452341.2694700058</v>
      </c>
      <c r="L111" s="1"/>
    </row>
    <row r="112" spans="1:12" ht="15" x14ac:dyDescent="0.25">
      <c r="A112" s="1"/>
      <c r="B112" s="9">
        <v>592</v>
      </c>
      <c r="C112" s="1"/>
      <c r="D112" s="1"/>
      <c r="E112" s="1"/>
      <c r="F112" s="1"/>
      <c r="G112" s="1"/>
      <c r="H112" s="1"/>
      <c r="I112" s="1"/>
      <c r="J112" s="50">
        <f t="shared" si="2"/>
        <v>122825015296</v>
      </c>
      <c r="K112" s="50">
        <f t="shared" si="3"/>
        <v>10346459.108747024</v>
      </c>
      <c r="L112" s="1"/>
    </row>
    <row r="113" spans="1:12" ht="15" x14ac:dyDescent="0.25">
      <c r="A113" s="1"/>
      <c r="B113" s="9">
        <v>613</v>
      </c>
      <c r="C113" s="1"/>
      <c r="D113" s="1"/>
      <c r="E113" s="1"/>
      <c r="F113" s="1"/>
      <c r="G113" s="1"/>
      <c r="H113" s="1"/>
      <c r="I113" s="1"/>
      <c r="J113" s="50">
        <f t="shared" si="2"/>
        <v>141202341361</v>
      </c>
      <c r="K113" s="50">
        <f t="shared" si="3"/>
        <v>1627056.4387235062</v>
      </c>
      <c r="L113" s="1"/>
    </row>
    <row r="114" spans="1:12" ht="15" x14ac:dyDescent="0.25">
      <c r="A114" s="1"/>
      <c r="B114" s="9">
        <v>675</v>
      </c>
      <c r="C114" s="1"/>
      <c r="D114" s="1"/>
      <c r="E114" s="1"/>
      <c r="F114" s="1"/>
      <c r="G114" s="1"/>
      <c r="H114" s="1"/>
      <c r="I114" s="1"/>
      <c r="J114" s="50">
        <f t="shared" si="2"/>
        <v>207594140625</v>
      </c>
      <c r="K114" s="50">
        <f t="shared" si="3"/>
        <v>477344.50270649837</v>
      </c>
      <c r="L114" s="1"/>
    </row>
    <row r="115" spans="1:12" ht="15" x14ac:dyDescent="0.25">
      <c r="A115" s="1"/>
      <c r="B115" s="9">
        <v>712</v>
      </c>
      <c r="C115" s="1"/>
      <c r="D115" s="1"/>
      <c r="E115" s="1"/>
      <c r="F115" s="1"/>
      <c r="G115" s="1"/>
      <c r="H115" s="1"/>
      <c r="I115" s="1"/>
      <c r="J115" s="50">
        <f t="shared" si="2"/>
        <v>256992219136</v>
      </c>
      <c r="K115" s="50">
        <f t="shared" si="3"/>
        <v>16039954.71232697</v>
      </c>
      <c r="L115" s="1"/>
    </row>
    <row r="116" spans="1:12" ht="15" x14ac:dyDescent="0.25">
      <c r="A116" s="1"/>
      <c r="B116" s="9">
        <v>676</v>
      </c>
      <c r="C116" s="1"/>
      <c r="D116" s="1"/>
      <c r="E116" s="1"/>
      <c r="F116" s="1"/>
      <c r="G116" s="1"/>
      <c r="H116" s="1"/>
      <c r="I116" s="1"/>
      <c r="J116" s="50">
        <f t="shared" si="2"/>
        <v>208827064576</v>
      </c>
      <c r="K116" s="50">
        <f t="shared" si="3"/>
        <v>554237.40485299809</v>
      </c>
      <c r="L116" s="1"/>
    </row>
    <row r="117" spans="1:12" ht="15" x14ac:dyDescent="0.25">
      <c r="A117" s="1"/>
      <c r="B117" s="9">
        <v>673</v>
      </c>
      <c r="C117" s="1"/>
      <c r="D117" s="1"/>
      <c r="E117" s="1"/>
      <c r="F117" s="1"/>
      <c r="G117" s="1"/>
      <c r="H117" s="1"/>
      <c r="I117" s="1"/>
      <c r="J117" s="50">
        <f t="shared" si="2"/>
        <v>205144679041</v>
      </c>
      <c r="K117" s="50">
        <f t="shared" si="3"/>
        <v>347818.30251349887</v>
      </c>
      <c r="L117" s="1"/>
    </row>
    <row r="118" spans="1:12" ht="15" x14ac:dyDescent="0.25">
      <c r="A118" s="1"/>
      <c r="B118" s="9">
        <v>642</v>
      </c>
      <c r="C118" s="1"/>
      <c r="D118" s="1"/>
      <c r="E118" s="1"/>
      <c r="F118" s="1"/>
      <c r="G118" s="1"/>
      <c r="H118" s="1"/>
      <c r="I118" s="1"/>
      <c r="J118" s="50">
        <f t="shared" si="2"/>
        <v>169879162896</v>
      </c>
      <c r="K118" s="50">
        <f t="shared" si="3"/>
        <v>2033.2185720006635</v>
      </c>
      <c r="L118" s="1"/>
    </row>
    <row r="119" spans="1:12" ht="15" x14ac:dyDescent="0.25">
      <c r="A119" s="1"/>
      <c r="B119" s="9">
        <v>699</v>
      </c>
      <c r="C119" s="1"/>
      <c r="D119" s="1"/>
      <c r="E119" s="1"/>
      <c r="F119" s="1"/>
      <c r="G119" s="1"/>
      <c r="H119" s="1"/>
      <c r="I119" s="1"/>
      <c r="J119" s="50">
        <f t="shared" si="2"/>
        <v>238730937201</v>
      </c>
      <c r="K119" s="50">
        <f t="shared" si="3"/>
        <v>6393723.0114224842</v>
      </c>
      <c r="L119" s="1"/>
    </row>
    <row r="120" spans="1:12" ht="15" x14ac:dyDescent="0.25">
      <c r="A120" s="1"/>
      <c r="B120" s="9">
        <v>629</v>
      </c>
      <c r="C120" s="1"/>
      <c r="D120" s="1"/>
      <c r="E120" s="1"/>
      <c r="F120" s="1"/>
      <c r="G120" s="1"/>
      <c r="H120" s="1"/>
      <c r="I120" s="1"/>
      <c r="J120" s="50">
        <f t="shared" si="2"/>
        <v>156531800881</v>
      </c>
      <c r="K120" s="50">
        <f t="shared" si="3"/>
        <v>151073.09466750157</v>
      </c>
      <c r="L120" s="1"/>
    </row>
    <row r="121" spans="1:12" ht="15" x14ac:dyDescent="0.25">
      <c r="A121" s="1"/>
      <c r="B121" s="9">
        <v>624</v>
      </c>
      <c r="C121" s="1"/>
      <c r="D121" s="1"/>
      <c r="E121" s="1"/>
      <c r="F121" s="1"/>
      <c r="G121" s="1"/>
      <c r="H121" s="1"/>
      <c r="I121" s="1"/>
      <c r="J121" s="50">
        <f t="shared" si="2"/>
        <v>151613669376</v>
      </c>
      <c r="K121" s="50">
        <f t="shared" si="3"/>
        <v>373114.78543500259</v>
      </c>
      <c r="L121" s="1"/>
    </row>
    <row r="122" spans="1:12" ht="15" x14ac:dyDescent="0.25">
      <c r="A122" s="1"/>
      <c r="B122" s="9">
        <v>628</v>
      </c>
      <c r="C122" s="1"/>
      <c r="D122" s="1"/>
      <c r="E122" s="1"/>
      <c r="F122" s="1"/>
      <c r="G122" s="1"/>
      <c r="H122" s="1"/>
      <c r="I122" s="1"/>
      <c r="J122" s="50">
        <f t="shared" si="2"/>
        <v>155538739456</v>
      </c>
      <c r="K122" s="50">
        <f t="shared" si="3"/>
        <v>184136.44342100175</v>
      </c>
      <c r="L122" s="1"/>
    </row>
    <row r="123" spans="1:12" ht="15" x14ac:dyDescent="0.25">
      <c r="A123" s="1"/>
      <c r="B123" s="9">
        <v>645</v>
      </c>
      <c r="C123" s="1"/>
      <c r="D123" s="1"/>
      <c r="E123" s="1"/>
      <c r="F123" s="1"/>
      <c r="G123" s="1"/>
      <c r="H123" s="1"/>
      <c r="I123" s="1"/>
      <c r="J123" s="50">
        <f t="shared" si="2"/>
        <v>173076800625</v>
      </c>
      <c r="K123" s="50">
        <f t="shared" si="3"/>
        <v>190.47381150063154</v>
      </c>
      <c r="L123" s="1"/>
    </row>
    <row r="124" spans="1:12" ht="15" x14ac:dyDescent="0.25">
      <c r="A124" s="1"/>
      <c r="B124" s="9">
        <v>605</v>
      </c>
      <c r="C124" s="1"/>
      <c r="D124" s="1"/>
      <c r="E124" s="1"/>
      <c r="F124" s="1"/>
      <c r="G124" s="1"/>
      <c r="H124" s="1"/>
      <c r="I124" s="1"/>
      <c r="J124" s="50">
        <f t="shared" si="2"/>
        <v>133974300625</v>
      </c>
      <c r="K124" s="50">
        <f t="shared" si="3"/>
        <v>3651925.6819515112</v>
      </c>
      <c r="L124" s="1"/>
    </row>
    <row r="125" spans="1:12" ht="15" x14ac:dyDescent="0.25">
      <c r="A125" s="1"/>
      <c r="B125" s="9">
        <v>670</v>
      </c>
      <c r="C125" s="1"/>
      <c r="D125" s="1"/>
      <c r="E125" s="1"/>
      <c r="F125" s="1"/>
      <c r="G125" s="1"/>
      <c r="H125" s="1"/>
      <c r="I125" s="1"/>
      <c r="J125" s="50">
        <f t="shared" si="2"/>
        <v>201511210000</v>
      </c>
      <c r="K125" s="50">
        <f t="shared" si="3"/>
        <v>205255.41247399937</v>
      </c>
      <c r="L125" s="1"/>
    </row>
    <row r="126" spans="1:12" ht="15" x14ac:dyDescent="0.25">
      <c r="A126" s="1"/>
      <c r="B126" s="9">
        <v>680</v>
      </c>
      <c r="C126" s="1"/>
      <c r="D126" s="1"/>
      <c r="E126" s="1"/>
      <c r="F126" s="1"/>
      <c r="G126" s="1"/>
      <c r="H126" s="1"/>
      <c r="I126" s="1"/>
      <c r="J126" s="50">
        <f t="shared" si="2"/>
        <v>213813760000</v>
      </c>
      <c r="K126" s="50">
        <f t="shared" si="3"/>
        <v>957953.96043899679</v>
      </c>
      <c r="L126" s="1"/>
    </row>
    <row r="127" spans="1:12" ht="15" x14ac:dyDescent="0.25">
      <c r="A127" s="1"/>
      <c r="B127" s="9">
        <v>607</v>
      </c>
      <c r="C127" s="1"/>
      <c r="D127" s="1"/>
      <c r="E127" s="1"/>
      <c r="F127" s="1"/>
      <c r="G127" s="1"/>
      <c r="H127" s="1"/>
      <c r="I127" s="1"/>
      <c r="J127" s="50">
        <f t="shared" si="2"/>
        <v>135754665601</v>
      </c>
      <c r="K127" s="50">
        <f t="shared" si="3"/>
        <v>3028091.4829445095</v>
      </c>
      <c r="L127" s="1"/>
    </row>
    <row r="128" spans="1:12" ht="15" x14ac:dyDescent="0.25">
      <c r="A128" s="1"/>
      <c r="B128" s="9">
        <v>646</v>
      </c>
      <c r="C128" s="1"/>
      <c r="D128" s="1"/>
      <c r="E128" s="1"/>
      <c r="F128" s="1"/>
      <c r="G128" s="1"/>
      <c r="H128" s="1"/>
      <c r="I128" s="1"/>
      <c r="J128" s="50">
        <f t="shared" si="2"/>
        <v>174152643856</v>
      </c>
      <c r="K128" s="50">
        <f t="shared" si="3"/>
        <v>54.334958000627552</v>
      </c>
      <c r="L128" s="1"/>
    </row>
    <row r="129" spans="1:12" ht="15" x14ac:dyDescent="0.25">
      <c r="A129" s="1"/>
      <c r="B129" s="9">
        <v>651</v>
      </c>
      <c r="C129" s="1"/>
      <c r="D129" s="1"/>
      <c r="E129" s="1"/>
      <c r="F129" s="1"/>
      <c r="G129" s="1"/>
      <c r="H129" s="1"/>
      <c r="I129" s="1"/>
      <c r="J129" s="50">
        <f t="shared" si="2"/>
        <v>179607287601</v>
      </c>
      <c r="K129" s="50">
        <f t="shared" si="3"/>
        <v>27.261190500623485</v>
      </c>
      <c r="L129" s="1"/>
    </row>
    <row r="130" spans="1:12" ht="15" x14ac:dyDescent="0.25">
      <c r="A130" s="1"/>
      <c r="B130" s="9">
        <v>684</v>
      </c>
      <c r="C130" s="1"/>
      <c r="D130" s="1"/>
      <c r="E130" s="1"/>
      <c r="F130" s="1"/>
      <c r="G130" s="1"/>
      <c r="H130" s="1"/>
      <c r="I130" s="1"/>
      <c r="J130" s="50">
        <f t="shared" si="2"/>
        <v>218889236736</v>
      </c>
      <c r="K130" s="50">
        <f t="shared" si="3"/>
        <v>1550102.7512249949</v>
      </c>
      <c r="L130" s="1"/>
    </row>
    <row r="131" spans="1:12" ht="15" x14ac:dyDescent="0.25">
      <c r="A131" s="1"/>
      <c r="B131" s="9">
        <v>671</v>
      </c>
      <c r="C131" s="1"/>
      <c r="D131" s="1"/>
      <c r="E131" s="1"/>
      <c r="F131" s="1"/>
      <c r="G131" s="1"/>
      <c r="H131" s="1"/>
      <c r="I131" s="1"/>
      <c r="J131" s="50">
        <f t="shared" ref="J131:J194" si="4">B131^$F$86</f>
        <v>202716958081</v>
      </c>
      <c r="K131" s="50">
        <f t="shared" ref="K131:K194" si="5">(B131-$E$16)^$F$86</f>
        <v>246632.6411204992</v>
      </c>
      <c r="L131" s="1"/>
    </row>
    <row r="132" spans="1:12" ht="15" x14ac:dyDescent="0.25">
      <c r="A132" s="1"/>
      <c r="B132" s="9">
        <v>560</v>
      </c>
      <c r="C132" s="1"/>
      <c r="D132" s="1"/>
      <c r="E132" s="1"/>
      <c r="F132" s="1"/>
      <c r="G132" s="1"/>
      <c r="H132" s="1"/>
      <c r="I132" s="1"/>
      <c r="J132" s="50">
        <f t="shared" si="4"/>
        <v>98344960000</v>
      </c>
      <c r="K132" s="50">
        <f t="shared" si="5"/>
        <v>61942428.404859088</v>
      </c>
      <c r="L132" s="1"/>
    </row>
    <row r="133" spans="1:12" ht="15" x14ac:dyDescent="0.25">
      <c r="A133" s="1"/>
      <c r="B133" s="9">
        <v>684</v>
      </c>
      <c r="C133" s="1"/>
      <c r="D133" s="1"/>
      <c r="E133" s="1"/>
      <c r="F133" s="1"/>
      <c r="G133" s="1"/>
      <c r="H133" s="1"/>
      <c r="I133" s="1"/>
      <c r="J133" s="50">
        <f t="shared" si="4"/>
        <v>218889236736</v>
      </c>
      <c r="K133" s="50">
        <f t="shared" si="5"/>
        <v>1550102.7512249949</v>
      </c>
      <c r="L133" s="1"/>
    </row>
    <row r="134" spans="1:12" ht="15" x14ac:dyDescent="0.25">
      <c r="A134" s="1"/>
      <c r="B134" s="9">
        <v>647</v>
      </c>
      <c r="C134" s="1"/>
      <c r="D134" s="1"/>
      <c r="E134" s="1"/>
      <c r="F134" s="1"/>
      <c r="G134" s="1"/>
      <c r="H134" s="1"/>
      <c r="I134" s="1"/>
      <c r="J134" s="50">
        <f t="shared" si="4"/>
        <v>175233494881</v>
      </c>
      <c r="K134" s="50">
        <f t="shared" si="5"/>
        <v>8.6508045006256413</v>
      </c>
      <c r="L134" s="1"/>
    </row>
    <row r="135" spans="1:12" ht="15" x14ac:dyDescent="0.25">
      <c r="A135" s="1"/>
      <c r="B135" s="9">
        <v>634</v>
      </c>
      <c r="C135" s="1"/>
      <c r="D135" s="1"/>
      <c r="E135" s="1"/>
      <c r="F135" s="1"/>
      <c r="G135" s="1"/>
      <c r="H135" s="1"/>
      <c r="I135" s="1"/>
      <c r="J135" s="50">
        <f t="shared" si="4"/>
        <v>161568625936</v>
      </c>
      <c r="K135" s="50">
        <f t="shared" si="5"/>
        <v>46885.771400001031</v>
      </c>
      <c r="L135" s="1"/>
    </row>
    <row r="136" spans="1:12" ht="15" x14ac:dyDescent="0.25">
      <c r="A136" s="1"/>
      <c r="B136" s="9">
        <v>653</v>
      </c>
      <c r="C136" s="1"/>
      <c r="D136" s="1"/>
      <c r="E136" s="1"/>
      <c r="F136" s="1"/>
      <c r="G136" s="1"/>
      <c r="H136" s="1"/>
      <c r="I136" s="1"/>
      <c r="J136" s="50">
        <f t="shared" si="4"/>
        <v>181824635281</v>
      </c>
      <c r="K136" s="50">
        <f t="shared" si="5"/>
        <v>337.13458350061501</v>
      </c>
      <c r="L136" s="1"/>
    </row>
    <row r="137" spans="1:12" ht="15" x14ac:dyDescent="0.25">
      <c r="A137" s="1"/>
      <c r="B137" s="9">
        <v>641</v>
      </c>
      <c r="C137" s="1"/>
      <c r="D137" s="1"/>
      <c r="E137" s="1"/>
      <c r="F137" s="1"/>
      <c r="G137" s="1"/>
      <c r="H137" s="1"/>
      <c r="I137" s="1"/>
      <c r="J137" s="50">
        <f t="shared" si="4"/>
        <v>168823196161</v>
      </c>
      <c r="K137" s="50">
        <f t="shared" si="5"/>
        <v>3542.7762255006837</v>
      </c>
      <c r="L137" s="1"/>
    </row>
    <row r="138" spans="1:12" ht="15" x14ac:dyDescent="0.25">
      <c r="A138" s="1"/>
      <c r="B138" s="9">
        <v>664</v>
      </c>
      <c r="C138" s="1"/>
      <c r="D138" s="1"/>
      <c r="E138" s="1"/>
      <c r="F138" s="1"/>
      <c r="G138" s="1"/>
      <c r="H138" s="1"/>
      <c r="I138" s="1"/>
      <c r="J138" s="50">
        <f t="shared" si="4"/>
        <v>194389282816</v>
      </c>
      <c r="K138" s="50">
        <f t="shared" si="5"/>
        <v>54583.549295000172</v>
      </c>
      <c r="L138" s="1"/>
    </row>
    <row r="139" spans="1:12" ht="15" x14ac:dyDescent="0.25">
      <c r="A139" s="1"/>
      <c r="B139" s="9">
        <v>650</v>
      </c>
      <c r="C139" s="1"/>
      <c r="D139" s="1"/>
      <c r="E139" s="1"/>
      <c r="F139" s="1"/>
      <c r="G139" s="1"/>
      <c r="H139" s="1"/>
      <c r="I139" s="1"/>
      <c r="J139" s="50">
        <f t="shared" si="4"/>
        <v>178506250000</v>
      </c>
      <c r="K139" s="50">
        <f t="shared" si="5"/>
        <v>2.7265440006247301</v>
      </c>
      <c r="L139" s="1"/>
    </row>
    <row r="140" spans="1:12" ht="15" x14ac:dyDescent="0.25">
      <c r="A140" s="1"/>
      <c r="B140" s="9">
        <v>631</v>
      </c>
      <c r="C140" s="1"/>
      <c r="D140" s="1"/>
      <c r="E140" s="1"/>
      <c r="F140" s="1"/>
      <c r="G140" s="1"/>
      <c r="H140" s="1"/>
      <c r="I140" s="1"/>
      <c r="J140" s="50">
        <f t="shared" si="4"/>
        <v>158532181921</v>
      </c>
      <c r="K140" s="50">
        <f t="shared" si="5"/>
        <v>98483.761260501313</v>
      </c>
      <c r="L140" s="1"/>
    </row>
    <row r="141" spans="1:12" ht="15" x14ac:dyDescent="0.25">
      <c r="A141" s="1"/>
      <c r="B141" s="9">
        <v>622</v>
      </c>
      <c r="C141" s="1"/>
      <c r="D141" s="1"/>
      <c r="E141" s="1"/>
      <c r="F141" s="1"/>
      <c r="G141" s="1"/>
      <c r="H141" s="1"/>
      <c r="I141" s="1"/>
      <c r="J141" s="50">
        <f t="shared" si="4"/>
        <v>149679229456</v>
      </c>
      <c r="K141" s="50">
        <f t="shared" si="5"/>
        <v>509355.16464200313</v>
      </c>
      <c r="L141" s="1"/>
    </row>
    <row r="142" spans="1:12" ht="15" x14ac:dyDescent="0.25">
      <c r="A142" s="1"/>
      <c r="B142" s="9">
        <v>650</v>
      </c>
      <c r="C142" s="1"/>
      <c r="D142" s="1"/>
      <c r="E142" s="1"/>
      <c r="F142" s="1"/>
      <c r="G142" s="1"/>
      <c r="H142" s="1"/>
      <c r="I142" s="1"/>
      <c r="J142" s="50">
        <f t="shared" si="4"/>
        <v>178506250000</v>
      </c>
      <c r="K142" s="50">
        <f t="shared" si="5"/>
        <v>2.7265440006247301</v>
      </c>
      <c r="L142" s="1"/>
    </row>
    <row r="143" spans="1:12" ht="15" x14ac:dyDescent="0.25">
      <c r="A143" s="1"/>
      <c r="B143" s="9">
        <v>659</v>
      </c>
      <c r="C143" s="1"/>
      <c r="D143" s="1"/>
      <c r="E143" s="1"/>
      <c r="F143" s="1"/>
      <c r="G143" s="1"/>
      <c r="H143" s="1"/>
      <c r="I143" s="1"/>
      <c r="J143" s="50">
        <f t="shared" si="4"/>
        <v>188599986961</v>
      </c>
      <c r="K143" s="50">
        <f t="shared" si="5"/>
        <v>11189.667562500485</v>
      </c>
      <c r="L143" s="1"/>
    </row>
    <row r="144" spans="1:12" ht="15" x14ac:dyDescent="0.25">
      <c r="A144" s="1"/>
      <c r="B144" s="9">
        <v>632</v>
      </c>
      <c r="C144" s="1"/>
      <c r="D144" s="1"/>
      <c r="E144" s="1"/>
      <c r="F144" s="1"/>
      <c r="G144" s="1"/>
      <c r="H144" s="1"/>
      <c r="I144" s="1"/>
      <c r="J144" s="50">
        <f t="shared" si="4"/>
        <v>159539531776</v>
      </c>
      <c r="K144" s="50">
        <f t="shared" si="5"/>
        <v>78059.456607001208</v>
      </c>
      <c r="L144" s="1"/>
    </row>
    <row r="145" spans="1:12" ht="15" x14ac:dyDescent="0.25">
      <c r="A145" s="1"/>
      <c r="B145" s="9">
        <v>701</v>
      </c>
      <c r="C145" s="1"/>
      <c r="D145" s="1"/>
      <c r="E145" s="1"/>
      <c r="F145" s="1"/>
      <c r="G145" s="1"/>
      <c r="H145" s="1"/>
      <c r="I145" s="1"/>
      <c r="J145" s="50">
        <f t="shared" si="4"/>
        <v>241474942801</v>
      </c>
      <c r="K145" s="50">
        <f t="shared" si="5"/>
        <v>7473231.7360154819</v>
      </c>
      <c r="L145" s="1"/>
    </row>
    <row r="146" spans="1:12" ht="15" x14ac:dyDescent="0.25">
      <c r="A146" s="1"/>
      <c r="B146" s="9">
        <v>698</v>
      </c>
      <c r="C146" s="1"/>
      <c r="D146" s="1"/>
      <c r="E146" s="1"/>
      <c r="F146" s="1"/>
      <c r="G146" s="1"/>
      <c r="H146" s="1"/>
      <c r="I146" s="1"/>
      <c r="J146" s="50">
        <f t="shared" si="4"/>
        <v>237367737616</v>
      </c>
      <c r="K146" s="50">
        <f t="shared" si="5"/>
        <v>5900095.5311759859</v>
      </c>
      <c r="L146" s="1"/>
    </row>
    <row r="147" spans="1:12" ht="15" x14ac:dyDescent="0.25">
      <c r="A147" s="1"/>
      <c r="B147" s="9">
        <v>633</v>
      </c>
      <c r="C147" s="1"/>
      <c r="D147" s="1"/>
      <c r="E147" s="1"/>
      <c r="F147" s="1"/>
      <c r="G147" s="1"/>
      <c r="H147" s="1"/>
      <c r="I147" s="1"/>
      <c r="J147" s="50">
        <f t="shared" si="4"/>
        <v>160551674721</v>
      </c>
      <c r="K147" s="50">
        <f t="shared" si="5"/>
        <v>60989.846653501125</v>
      </c>
      <c r="L147" s="1"/>
    </row>
    <row r="148" spans="1:12" ht="15" x14ac:dyDescent="0.25">
      <c r="A148" s="1"/>
      <c r="B148" s="9">
        <v>610</v>
      </c>
      <c r="C148" s="1"/>
      <c r="D148" s="1"/>
      <c r="E148" s="1"/>
      <c r="F148" s="1"/>
      <c r="G148" s="1"/>
      <c r="H148" s="1"/>
      <c r="I148" s="1"/>
      <c r="J148" s="50">
        <f t="shared" si="4"/>
        <v>138458410000</v>
      </c>
      <c r="K148" s="50">
        <f t="shared" si="5"/>
        <v>2246554.994684008</v>
      </c>
      <c r="L148" s="1"/>
    </row>
    <row r="149" spans="1:12" ht="15" x14ac:dyDescent="0.25">
      <c r="A149" s="1"/>
      <c r="B149" s="9">
        <v>637</v>
      </c>
      <c r="C149" s="1"/>
      <c r="D149" s="1"/>
      <c r="E149" s="1"/>
      <c r="F149" s="1"/>
      <c r="G149" s="1"/>
      <c r="H149" s="1"/>
      <c r="I149" s="1"/>
      <c r="J149" s="50">
        <f t="shared" si="4"/>
        <v>164648481361</v>
      </c>
      <c r="K149" s="50">
        <f t="shared" si="5"/>
        <v>18835.153839500832</v>
      </c>
      <c r="L149" s="1"/>
    </row>
    <row r="150" spans="1:12" ht="15" x14ac:dyDescent="0.25">
      <c r="A150" s="1"/>
      <c r="B150" s="9">
        <v>705</v>
      </c>
      <c r="C150" s="1"/>
      <c r="D150" s="1"/>
      <c r="E150" s="1"/>
      <c r="F150" s="1"/>
      <c r="G150" s="1"/>
      <c r="H150" s="1"/>
      <c r="I150" s="1"/>
      <c r="J150" s="50">
        <f t="shared" si="4"/>
        <v>247033850625</v>
      </c>
      <c r="K150" s="50">
        <f t="shared" si="5"/>
        <v>10036231.761601478</v>
      </c>
      <c r="L150" s="1"/>
    </row>
    <row r="151" spans="1:12" ht="15" x14ac:dyDescent="0.25">
      <c r="A151" s="1"/>
      <c r="B151" s="9">
        <v>663</v>
      </c>
      <c r="C151" s="1"/>
      <c r="D151" s="1"/>
      <c r="E151" s="1"/>
      <c r="F151" s="1"/>
      <c r="G151" s="1"/>
      <c r="H151" s="1"/>
      <c r="I151" s="1"/>
      <c r="J151" s="50">
        <f t="shared" si="4"/>
        <v>193220905761</v>
      </c>
      <c r="K151" s="50">
        <f t="shared" si="5"/>
        <v>41640.983548500255</v>
      </c>
      <c r="L151" s="1"/>
    </row>
    <row r="152" spans="1:12" ht="15" x14ac:dyDescent="0.25">
      <c r="A152" s="1"/>
      <c r="B152" s="9">
        <v>617</v>
      </c>
      <c r="C152" s="1"/>
      <c r="D152" s="1"/>
      <c r="E152" s="1"/>
      <c r="F152" s="1"/>
      <c r="G152" s="1"/>
      <c r="H152" s="1"/>
      <c r="I152" s="1"/>
      <c r="J152" s="50">
        <f t="shared" si="4"/>
        <v>144924114721</v>
      </c>
      <c r="K152" s="50">
        <f t="shared" si="5"/>
        <v>1011716.5699095047</v>
      </c>
      <c r="L152" s="1"/>
    </row>
    <row r="153" spans="1:12" ht="15" x14ac:dyDescent="0.25">
      <c r="A153" s="1"/>
      <c r="B153" s="9">
        <v>636</v>
      </c>
      <c r="C153" s="1"/>
      <c r="D153" s="1"/>
      <c r="E153" s="1"/>
      <c r="F153" s="1"/>
      <c r="G153" s="1"/>
      <c r="H153" s="1"/>
      <c r="I153" s="1"/>
      <c r="J153" s="50">
        <f t="shared" si="4"/>
        <v>163617014016</v>
      </c>
      <c r="K153" s="50">
        <f t="shared" si="5"/>
        <v>26137.584993000888</v>
      </c>
      <c r="L153" s="1"/>
    </row>
    <row r="154" spans="1:12" ht="15" x14ac:dyDescent="0.25">
      <c r="A154" s="1"/>
      <c r="B154" s="9">
        <v>598</v>
      </c>
      <c r="C154" s="1"/>
      <c r="D154" s="1"/>
      <c r="E154" s="1"/>
      <c r="F154" s="1"/>
      <c r="G154" s="1"/>
      <c r="H154" s="1"/>
      <c r="I154" s="1"/>
      <c r="J154" s="50">
        <f t="shared" si="4"/>
        <v>127880620816</v>
      </c>
      <c r="K154" s="50">
        <f t="shared" si="5"/>
        <v>6615241.7415260179</v>
      </c>
      <c r="L154" s="1"/>
    </row>
    <row r="155" spans="1:12" ht="15" x14ac:dyDescent="0.25">
      <c r="A155" s="1"/>
      <c r="B155" s="9">
        <v>627</v>
      </c>
      <c r="C155" s="1"/>
      <c r="D155" s="1"/>
      <c r="E155" s="1"/>
      <c r="F155" s="1"/>
      <c r="G155" s="1"/>
      <c r="H155" s="1"/>
      <c r="I155" s="1"/>
      <c r="J155" s="50">
        <f t="shared" si="4"/>
        <v>154550410641</v>
      </c>
      <c r="K155" s="50">
        <f t="shared" si="5"/>
        <v>222351.1268745019</v>
      </c>
      <c r="L155" s="1"/>
    </row>
    <row r="156" spans="1:12" ht="15" x14ac:dyDescent="0.25">
      <c r="A156" s="1"/>
      <c r="B156" s="9">
        <v>672</v>
      </c>
      <c r="C156" s="1"/>
      <c r="D156" s="1"/>
      <c r="E156" s="1"/>
      <c r="F156" s="1"/>
      <c r="G156" s="1"/>
      <c r="H156" s="1"/>
      <c r="I156" s="1"/>
      <c r="J156" s="50">
        <f t="shared" si="4"/>
        <v>203928109056</v>
      </c>
      <c r="K156" s="50">
        <f t="shared" si="5"/>
        <v>293971.32446699904</v>
      </c>
      <c r="L156" s="1"/>
    </row>
    <row r="157" spans="1:12" ht="15" x14ac:dyDescent="0.25">
      <c r="A157" s="1"/>
      <c r="B157" s="9">
        <v>669</v>
      </c>
      <c r="C157" s="1"/>
      <c r="D157" s="1"/>
      <c r="E157" s="1"/>
      <c r="F157" s="1"/>
      <c r="G157" s="1"/>
      <c r="H157" s="1"/>
      <c r="I157" s="1"/>
      <c r="J157" s="50">
        <f t="shared" si="4"/>
        <v>200310848721</v>
      </c>
      <c r="K157" s="50">
        <f t="shared" si="5"/>
        <v>169316.79852749954</v>
      </c>
      <c r="L157" s="1"/>
    </row>
    <row r="158" spans="1:12" ht="15" x14ac:dyDescent="0.25">
      <c r="A158" s="1"/>
      <c r="B158" s="9">
        <v>649</v>
      </c>
      <c r="C158" s="1"/>
      <c r="D158" s="1"/>
      <c r="E158" s="1"/>
      <c r="F158" s="1"/>
      <c r="G158" s="1"/>
      <c r="H158" s="1"/>
      <c r="I158" s="1"/>
      <c r="J158" s="50">
        <f t="shared" si="4"/>
        <v>177410282401</v>
      </c>
      <c r="K158" s="50">
        <f t="shared" si="5"/>
        <v>6.5975006249970524E-3</v>
      </c>
      <c r="L158" s="1"/>
    </row>
    <row r="159" spans="1:12" ht="15" x14ac:dyDescent="0.25">
      <c r="A159" s="1"/>
      <c r="B159" s="9">
        <v>646</v>
      </c>
      <c r="C159" s="1"/>
      <c r="D159" s="1"/>
      <c r="E159" s="1"/>
      <c r="F159" s="1"/>
      <c r="G159" s="1"/>
      <c r="H159" s="1"/>
      <c r="I159" s="1"/>
      <c r="J159" s="50">
        <f t="shared" si="4"/>
        <v>174152643856</v>
      </c>
      <c r="K159" s="50">
        <f t="shared" si="5"/>
        <v>54.334958000627552</v>
      </c>
      <c r="L159" s="1"/>
    </row>
    <row r="160" spans="1:12" ht="15" x14ac:dyDescent="0.25">
      <c r="A160" s="1"/>
      <c r="B160" s="9">
        <v>604</v>
      </c>
      <c r="C160" s="1"/>
      <c r="D160" s="1"/>
      <c r="E160" s="1"/>
      <c r="F160" s="1"/>
      <c r="G160" s="1"/>
      <c r="H160" s="1"/>
      <c r="I160" s="1"/>
      <c r="J160" s="50">
        <f t="shared" si="4"/>
        <v>133090713856</v>
      </c>
      <c r="K160" s="50">
        <f t="shared" si="5"/>
        <v>3997725.2235050118</v>
      </c>
      <c r="L160" s="1"/>
    </row>
    <row r="161" spans="1:12" ht="15" x14ac:dyDescent="0.25">
      <c r="A161" s="1"/>
      <c r="B161" s="9">
        <v>622</v>
      </c>
      <c r="C161" s="1"/>
      <c r="D161" s="1"/>
      <c r="E161" s="1"/>
      <c r="F161" s="1"/>
      <c r="G161" s="1"/>
      <c r="H161" s="1"/>
      <c r="I161" s="1"/>
      <c r="J161" s="50">
        <f t="shared" si="4"/>
        <v>149679229456</v>
      </c>
      <c r="K161" s="50">
        <f t="shared" si="5"/>
        <v>509355.16464200313</v>
      </c>
      <c r="L161" s="1"/>
    </row>
    <row r="162" spans="1:12" ht="15" x14ac:dyDescent="0.25">
      <c r="A162" s="1"/>
      <c r="B162" s="9">
        <v>642</v>
      </c>
      <c r="C162" s="1"/>
      <c r="D162" s="1"/>
      <c r="E162" s="1"/>
      <c r="F162" s="1"/>
      <c r="G162" s="1"/>
      <c r="H162" s="1"/>
      <c r="I162" s="1"/>
      <c r="J162" s="50">
        <f t="shared" si="4"/>
        <v>169879162896</v>
      </c>
      <c r="K162" s="50">
        <f t="shared" si="5"/>
        <v>2033.2185720006635</v>
      </c>
      <c r="L162" s="1"/>
    </row>
    <row r="163" spans="1:12" ht="15" x14ac:dyDescent="0.25">
      <c r="A163" s="1"/>
      <c r="B163" s="9">
        <v>651</v>
      </c>
      <c r="C163" s="1"/>
      <c r="D163" s="1"/>
      <c r="E163" s="1"/>
      <c r="F163" s="1"/>
      <c r="G163" s="1"/>
      <c r="H163" s="1"/>
      <c r="I163" s="1"/>
      <c r="J163" s="50">
        <f t="shared" si="4"/>
        <v>179607287601</v>
      </c>
      <c r="K163" s="50">
        <f t="shared" si="5"/>
        <v>27.261190500623485</v>
      </c>
      <c r="L163" s="1"/>
    </row>
    <row r="164" spans="1:12" ht="15" x14ac:dyDescent="0.25">
      <c r="A164" s="1"/>
      <c r="B164" s="9">
        <v>611</v>
      </c>
      <c r="C164" s="1"/>
      <c r="D164" s="1"/>
      <c r="E164" s="1"/>
      <c r="F164" s="1"/>
      <c r="G164" s="1"/>
      <c r="H164" s="1"/>
      <c r="I164" s="1"/>
      <c r="J164" s="50">
        <f t="shared" si="4"/>
        <v>139368569041</v>
      </c>
      <c r="K164" s="50">
        <f t="shared" si="5"/>
        <v>2023282.1413305071</v>
      </c>
      <c r="L164" s="1"/>
    </row>
    <row r="165" spans="1:12" ht="15" x14ac:dyDescent="0.25">
      <c r="A165" s="1"/>
      <c r="B165" s="9">
        <v>734</v>
      </c>
      <c r="C165" s="1"/>
      <c r="D165" s="1"/>
      <c r="E165" s="1"/>
      <c r="F165" s="1"/>
      <c r="G165" s="1"/>
      <c r="H165" s="1"/>
      <c r="I165" s="1"/>
      <c r="J165" s="50">
        <f t="shared" si="4"/>
        <v>290258027536</v>
      </c>
      <c r="K165" s="50">
        <f t="shared" si="5"/>
        <v>52904256.481049918</v>
      </c>
      <c r="L165" s="1"/>
    </row>
    <row r="166" spans="1:12" ht="15" x14ac:dyDescent="0.25">
      <c r="A166" s="1"/>
      <c r="B166" s="9">
        <v>615</v>
      </c>
      <c r="C166" s="1"/>
      <c r="D166" s="1"/>
      <c r="E166" s="1"/>
      <c r="F166" s="1"/>
      <c r="G166" s="1"/>
      <c r="H166" s="1"/>
      <c r="I166" s="1"/>
      <c r="J166" s="50">
        <f t="shared" si="4"/>
        <v>143054150625</v>
      </c>
      <c r="K166" s="50">
        <f t="shared" si="5"/>
        <v>1292089.6749165053</v>
      </c>
      <c r="L166" s="1"/>
    </row>
    <row r="167" spans="1:12" ht="15" x14ac:dyDescent="0.25">
      <c r="A167" s="1"/>
      <c r="B167" s="9">
        <v>673</v>
      </c>
      <c r="C167" s="1"/>
      <c r="D167" s="1"/>
      <c r="E167" s="1"/>
      <c r="F167" s="1"/>
      <c r="G167" s="1"/>
      <c r="H167" s="1"/>
      <c r="I167" s="1"/>
      <c r="J167" s="50">
        <f t="shared" si="4"/>
        <v>205144679041</v>
      </c>
      <c r="K167" s="50">
        <f t="shared" si="5"/>
        <v>347818.30251349887</v>
      </c>
      <c r="L167" s="1"/>
    </row>
    <row r="168" spans="1:12" ht="15" x14ac:dyDescent="0.25">
      <c r="A168" s="1"/>
      <c r="B168" s="9">
        <v>539</v>
      </c>
      <c r="C168" s="1"/>
      <c r="D168" s="1"/>
      <c r="E168" s="1"/>
      <c r="F168" s="1"/>
      <c r="G168" s="1"/>
      <c r="H168" s="1"/>
      <c r="I168" s="1"/>
      <c r="J168" s="50">
        <f t="shared" si="4"/>
        <v>84402451441</v>
      </c>
      <c r="K168" s="50">
        <f t="shared" si="5"/>
        <v>144898546.75598267</v>
      </c>
      <c r="L168" s="1"/>
    </row>
    <row r="169" spans="1:12" ht="15" x14ac:dyDescent="0.25">
      <c r="A169" s="1"/>
      <c r="B169" s="9">
        <v>675</v>
      </c>
      <c r="C169" s="1"/>
      <c r="D169" s="1"/>
      <c r="E169" s="1"/>
      <c r="F169" s="1"/>
      <c r="G169" s="1"/>
      <c r="H169" s="1"/>
      <c r="I169" s="1"/>
      <c r="J169" s="50">
        <f t="shared" si="4"/>
        <v>207594140625</v>
      </c>
      <c r="K169" s="50">
        <f t="shared" si="5"/>
        <v>477344.50270649837</v>
      </c>
      <c r="L169" s="1"/>
    </row>
    <row r="170" spans="1:12" ht="15" x14ac:dyDescent="0.25">
      <c r="A170" s="1"/>
      <c r="B170" s="9">
        <v>618</v>
      </c>
      <c r="C170" s="1"/>
      <c r="D170" s="1"/>
      <c r="E170" s="1"/>
      <c r="F170" s="1"/>
      <c r="G170" s="1"/>
      <c r="H170" s="1"/>
      <c r="I170" s="1"/>
      <c r="J170" s="50">
        <f t="shared" si="4"/>
        <v>145865941776</v>
      </c>
      <c r="K170" s="50">
        <f t="shared" si="5"/>
        <v>890024.73945600435</v>
      </c>
      <c r="L170" s="1"/>
    </row>
    <row r="171" spans="1:12" ht="15" x14ac:dyDescent="0.25">
      <c r="A171" s="1"/>
      <c r="B171" s="9">
        <v>744</v>
      </c>
      <c r="C171" s="1"/>
      <c r="D171" s="1"/>
      <c r="E171" s="1"/>
      <c r="F171" s="1"/>
      <c r="G171" s="1"/>
      <c r="H171" s="1"/>
      <c r="I171" s="1"/>
      <c r="J171" s="50">
        <f t="shared" si="4"/>
        <v>306402103296</v>
      </c>
      <c r="K171" s="50">
        <f t="shared" si="5"/>
        <v>82432439.637014896</v>
      </c>
      <c r="L171" s="1"/>
    </row>
    <row r="172" spans="1:12" ht="15" x14ac:dyDescent="0.25">
      <c r="A172" s="1"/>
      <c r="B172" s="9">
        <v>638</v>
      </c>
      <c r="C172" s="1"/>
      <c r="D172" s="1"/>
      <c r="E172" s="1"/>
      <c r="F172" s="1"/>
      <c r="G172" s="1"/>
      <c r="H172" s="1"/>
      <c r="I172" s="1"/>
      <c r="J172" s="50">
        <f t="shared" si="4"/>
        <v>165684817936</v>
      </c>
      <c r="K172" s="50">
        <f t="shared" si="5"/>
        <v>13181.61738600078</v>
      </c>
      <c r="L172" s="1"/>
    </row>
    <row r="173" spans="1:12" ht="15" x14ac:dyDescent="0.25">
      <c r="A173" s="1"/>
      <c r="B173" s="9">
        <v>686</v>
      </c>
      <c r="C173" s="1"/>
      <c r="D173" s="1"/>
      <c r="E173" s="1"/>
      <c r="F173" s="1"/>
      <c r="G173" s="1"/>
      <c r="H173" s="1"/>
      <c r="I173" s="1"/>
      <c r="J173" s="50">
        <f t="shared" si="4"/>
        <v>221460595216</v>
      </c>
      <c r="K173" s="50">
        <f t="shared" si="5"/>
        <v>1932576.0348179939</v>
      </c>
      <c r="L173" s="1"/>
    </row>
    <row r="174" spans="1:12" ht="15" x14ac:dyDescent="0.25">
      <c r="A174" s="1"/>
      <c r="B174" s="9">
        <v>638</v>
      </c>
      <c r="C174" s="1"/>
      <c r="D174" s="1"/>
      <c r="E174" s="1"/>
      <c r="F174" s="1"/>
      <c r="G174" s="1"/>
      <c r="H174" s="1"/>
      <c r="I174" s="1"/>
      <c r="J174" s="50">
        <f t="shared" si="4"/>
        <v>165684817936</v>
      </c>
      <c r="K174" s="50">
        <f t="shared" si="5"/>
        <v>13181.61738600078</v>
      </c>
      <c r="L174" s="1"/>
    </row>
    <row r="175" spans="1:12" ht="15" x14ac:dyDescent="0.25">
      <c r="A175" s="1"/>
      <c r="B175" s="9">
        <v>595</v>
      </c>
      <c r="C175" s="1"/>
      <c r="D175" s="1"/>
      <c r="E175" s="1"/>
      <c r="F175" s="1"/>
      <c r="G175" s="1"/>
      <c r="H175" s="1"/>
      <c r="I175" s="1"/>
      <c r="J175" s="50">
        <f t="shared" si="4"/>
        <v>125333700625</v>
      </c>
      <c r="K175" s="50">
        <f t="shared" si="5"/>
        <v>8324963.15898652</v>
      </c>
      <c r="L175" s="1"/>
    </row>
    <row r="176" spans="1:12" ht="15" x14ac:dyDescent="0.25">
      <c r="A176" s="1"/>
      <c r="B176" s="9">
        <v>633</v>
      </c>
      <c r="C176" s="1"/>
      <c r="D176" s="1"/>
      <c r="E176" s="1"/>
      <c r="F176" s="1"/>
      <c r="G176" s="1"/>
      <c r="H176" s="1"/>
      <c r="I176" s="1"/>
      <c r="J176" s="50">
        <f t="shared" si="4"/>
        <v>160551674721</v>
      </c>
      <c r="K176" s="50">
        <f t="shared" si="5"/>
        <v>60989.846653501125</v>
      </c>
      <c r="L176" s="1"/>
    </row>
    <row r="177" spans="1:12" ht="15" x14ac:dyDescent="0.25">
      <c r="A177" s="1"/>
      <c r="B177" s="9">
        <v>569</v>
      </c>
      <c r="C177" s="1"/>
      <c r="D177" s="1"/>
      <c r="E177" s="1"/>
      <c r="F177" s="1"/>
      <c r="G177" s="1"/>
      <c r="H177" s="1"/>
      <c r="I177" s="1"/>
      <c r="J177" s="50">
        <f t="shared" si="4"/>
        <v>104821185121</v>
      </c>
      <c r="K177" s="50">
        <f t="shared" si="5"/>
        <v>40379431.638877563</v>
      </c>
      <c r="L177" s="1"/>
    </row>
    <row r="178" spans="1:12" ht="15" x14ac:dyDescent="0.25">
      <c r="A178" s="1"/>
      <c r="B178" s="9">
        <v>666</v>
      </c>
      <c r="C178" s="1"/>
      <c r="D178" s="1"/>
      <c r="E178" s="1"/>
      <c r="F178" s="1"/>
      <c r="G178" s="1"/>
      <c r="H178" s="1"/>
      <c r="I178" s="1"/>
      <c r="J178" s="50">
        <f t="shared" si="4"/>
        <v>196741925136</v>
      </c>
      <c r="K178" s="50">
        <f t="shared" si="5"/>
        <v>89264.244887999957</v>
      </c>
      <c r="L178" s="1"/>
    </row>
    <row r="179" spans="1:12" ht="15" x14ac:dyDescent="0.25">
      <c r="A179" s="1"/>
      <c r="B179" s="9">
        <v>577</v>
      </c>
      <c r="C179" s="1"/>
      <c r="D179" s="1"/>
      <c r="E179" s="1"/>
      <c r="F179" s="1"/>
      <c r="G179" s="1"/>
      <c r="H179" s="1"/>
      <c r="I179" s="1"/>
      <c r="J179" s="50">
        <f t="shared" si="4"/>
        <v>110841719041</v>
      </c>
      <c r="K179" s="50">
        <f t="shared" si="5"/>
        <v>26450873.042049546</v>
      </c>
      <c r="L179" s="1"/>
    </row>
    <row r="180" spans="1:12" ht="15" x14ac:dyDescent="0.25">
      <c r="A180" s="1"/>
      <c r="B180" s="9">
        <v>631</v>
      </c>
      <c r="C180" s="1"/>
      <c r="D180" s="1"/>
      <c r="E180" s="1"/>
      <c r="F180" s="1"/>
      <c r="G180" s="1"/>
      <c r="H180" s="1"/>
      <c r="I180" s="1"/>
      <c r="J180" s="50">
        <f t="shared" si="4"/>
        <v>158532181921</v>
      </c>
      <c r="K180" s="50">
        <f t="shared" si="5"/>
        <v>98483.761260501313</v>
      </c>
      <c r="L180" s="1"/>
    </row>
    <row r="181" spans="1:12" ht="15" x14ac:dyDescent="0.25">
      <c r="A181" s="1"/>
      <c r="B181" s="9">
        <v>711</v>
      </c>
      <c r="C181" s="1"/>
      <c r="D181" s="1"/>
      <c r="E181" s="1"/>
      <c r="F181" s="1"/>
      <c r="G181" s="1"/>
      <c r="H181" s="1"/>
      <c r="I181" s="1"/>
      <c r="J181" s="50">
        <f t="shared" si="4"/>
        <v>255551481441</v>
      </c>
      <c r="K181" s="50">
        <f t="shared" si="5"/>
        <v>15049909.040980469</v>
      </c>
      <c r="L181" s="1"/>
    </row>
    <row r="182" spans="1:12" ht="15" x14ac:dyDescent="0.25">
      <c r="A182" s="1"/>
      <c r="B182" s="9">
        <v>660</v>
      </c>
      <c r="C182" s="1"/>
      <c r="D182" s="1"/>
      <c r="E182" s="1"/>
      <c r="F182" s="1"/>
      <c r="G182" s="1"/>
      <c r="H182" s="1"/>
      <c r="I182" s="1"/>
      <c r="J182" s="50">
        <f t="shared" si="4"/>
        <v>189747360000</v>
      </c>
      <c r="K182" s="50">
        <f t="shared" si="5"/>
        <v>16218.33450900044</v>
      </c>
      <c r="L182" s="1"/>
    </row>
    <row r="183" spans="1:12" ht="15" x14ac:dyDescent="0.25">
      <c r="A183" s="1"/>
      <c r="B183" s="9">
        <v>656</v>
      </c>
      <c r="C183" s="1"/>
      <c r="D183" s="1"/>
      <c r="E183" s="1"/>
      <c r="F183" s="1"/>
      <c r="G183" s="1"/>
      <c r="H183" s="1"/>
      <c r="I183" s="1"/>
      <c r="J183" s="50">
        <f t="shared" si="4"/>
        <v>185189072896</v>
      </c>
      <c r="K183" s="50">
        <f t="shared" si="5"/>
        <v>2816.5549230005759</v>
      </c>
      <c r="L183" s="1"/>
    </row>
    <row r="184" spans="1:12" ht="15" x14ac:dyDescent="0.25">
      <c r="A184" s="1"/>
      <c r="B184" s="9">
        <v>703</v>
      </c>
      <c r="C184" s="1"/>
      <c r="D184" s="1"/>
      <c r="E184" s="1"/>
      <c r="F184" s="1"/>
      <c r="G184" s="1"/>
      <c r="H184" s="1"/>
      <c r="I184" s="1"/>
      <c r="J184" s="50">
        <f t="shared" si="4"/>
        <v>244242535681</v>
      </c>
      <c r="K184" s="50">
        <f t="shared" si="5"/>
        <v>8683991.0794084799</v>
      </c>
      <c r="L184" s="1"/>
    </row>
    <row r="185" spans="1:12" ht="15" x14ac:dyDescent="0.25">
      <c r="A185" s="1"/>
      <c r="B185" s="9">
        <v>683</v>
      </c>
      <c r="C185" s="1"/>
      <c r="D185" s="1"/>
      <c r="E185" s="1"/>
      <c r="F185" s="1"/>
      <c r="G185" s="1"/>
      <c r="H185" s="1"/>
      <c r="I185" s="1"/>
      <c r="J185" s="50">
        <f t="shared" si="4"/>
        <v>217611987121</v>
      </c>
      <c r="K185" s="50">
        <f t="shared" si="5"/>
        <v>1381709.0914784954</v>
      </c>
      <c r="L185" s="1"/>
    </row>
    <row r="186" spans="1:12" ht="15" x14ac:dyDescent="0.25">
      <c r="A186" s="1"/>
      <c r="B186" s="9">
        <v>667</v>
      </c>
      <c r="C186" s="1"/>
      <c r="D186" s="1"/>
      <c r="E186" s="1"/>
      <c r="F186" s="1"/>
      <c r="G186" s="1"/>
      <c r="H186" s="1"/>
      <c r="I186" s="1"/>
      <c r="J186" s="50">
        <f t="shared" si="4"/>
        <v>197926222321</v>
      </c>
      <c r="K186" s="50">
        <f t="shared" si="5"/>
        <v>111784.05473449983</v>
      </c>
      <c r="L186" s="1"/>
    </row>
    <row r="187" spans="1:12" ht="15" x14ac:dyDescent="0.25">
      <c r="A187" s="1"/>
      <c r="B187" s="9">
        <v>598</v>
      </c>
      <c r="C187" s="1"/>
      <c r="D187" s="1"/>
      <c r="E187" s="1"/>
      <c r="F187" s="1"/>
      <c r="G187" s="1"/>
      <c r="H187" s="1"/>
      <c r="I187" s="1"/>
      <c r="J187" s="50">
        <f t="shared" si="4"/>
        <v>127880620816</v>
      </c>
      <c r="K187" s="50">
        <f t="shared" si="5"/>
        <v>6615241.7415260179</v>
      </c>
      <c r="L187" s="1"/>
    </row>
    <row r="188" spans="1:12" ht="15" x14ac:dyDescent="0.25">
      <c r="A188" s="1"/>
      <c r="B188" s="9">
        <v>644</v>
      </c>
      <c r="C188" s="1"/>
      <c r="D188" s="1"/>
      <c r="E188" s="1"/>
      <c r="F188" s="1"/>
      <c r="G188" s="1"/>
      <c r="H188" s="1"/>
      <c r="I188" s="1"/>
      <c r="J188" s="50">
        <f t="shared" si="4"/>
        <v>172005949696</v>
      </c>
      <c r="K188" s="50">
        <f t="shared" si="5"/>
        <v>494.22736500063837</v>
      </c>
      <c r="L188" s="1"/>
    </row>
    <row r="189" spans="1:12" ht="15" x14ac:dyDescent="0.25">
      <c r="A189" s="1"/>
      <c r="B189" s="9">
        <v>643</v>
      </c>
      <c r="C189" s="1"/>
      <c r="D189" s="1"/>
      <c r="E189" s="1"/>
      <c r="F189" s="1"/>
      <c r="G189" s="1"/>
      <c r="H189" s="1"/>
      <c r="I189" s="1"/>
      <c r="J189" s="50">
        <f t="shared" si="4"/>
        <v>170940075601</v>
      </c>
      <c r="K189" s="50">
        <f t="shared" si="5"/>
        <v>1066.7556185006488</v>
      </c>
      <c r="L189" s="1"/>
    </row>
    <row r="190" spans="1:12" ht="15" x14ac:dyDescent="0.25">
      <c r="A190" s="1"/>
      <c r="B190" s="9">
        <v>653</v>
      </c>
      <c r="C190" s="1"/>
      <c r="D190" s="1"/>
      <c r="E190" s="1"/>
      <c r="F190" s="1"/>
      <c r="G190" s="1"/>
      <c r="H190" s="1"/>
      <c r="I190" s="1"/>
      <c r="J190" s="50">
        <f t="shared" si="4"/>
        <v>181824635281</v>
      </c>
      <c r="K190" s="50">
        <f t="shared" si="5"/>
        <v>337.13458350061501</v>
      </c>
      <c r="L190" s="1"/>
    </row>
    <row r="191" spans="1:12" ht="15" x14ac:dyDescent="0.25">
      <c r="A191" s="1"/>
      <c r="B191" s="9">
        <v>620</v>
      </c>
      <c r="C191" s="1"/>
      <c r="D191" s="1"/>
      <c r="E191" s="1"/>
      <c r="F191" s="1"/>
      <c r="G191" s="1"/>
      <c r="H191" s="1"/>
      <c r="I191" s="1"/>
      <c r="J191" s="50">
        <f t="shared" si="4"/>
        <v>147763360000</v>
      </c>
      <c r="K191" s="50">
        <f t="shared" si="5"/>
        <v>679884.72264900373</v>
      </c>
      <c r="L191" s="1"/>
    </row>
    <row r="192" spans="1:12" ht="15" x14ac:dyDescent="0.25">
      <c r="A192" s="1"/>
      <c r="B192" s="9">
        <v>687</v>
      </c>
      <c r="C192" s="1"/>
      <c r="D192" s="1"/>
      <c r="E192" s="1"/>
      <c r="F192" s="1"/>
      <c r="G192" s="1"/>
      <c r="H192" s="1"/>
      <c r="I192" s="1"/>
      <c r="J192" s="50">
        <f t="shared" si="4"/>
        <v>222754736961</v>
      </c>
      <c r="K192" s="50">
        <f t="shared" si="5"/>
        <v>2148397.3386644931</v>
      </c>
      <c r="L192" s="1"/>
    </row>
    <row r="193" spans="1:12" ht="15" x14ac:dyDescent="0.25">
      <c r="A193" s="1"/>
      <c r="B193" s="9">
        <v>670</v>
      </c>
      <c r="C193" s="1"/>
      <c r="D193" s="1"/>
      <c r="E193" s="1"/>
      <c r="F193" s="1"/>
      <c r="G193" s="1"/>
      <c r="H193" s="1"/>
      <c r="I193" s="1"/>
      <c r="J193" s="50">
        <f t="shared" si="4"/>
        <v>201511210000</v>
      </c>
      <c r="K193" s="50">
        <f t="shared" si="5"/>
        <v>205255.41247399937</v>
      </c>
      <c r="L193" s="1"/>
    </row>
    <row r="194" spans="1:12" ht="15" x14ac:dyDescent="0.25">
      <c r="A194" s="1"/>
      <c r="B194" s="9">
        <v>559</v>
      </c>
      <c r="C194" s="1"/>
      <c r="D194" s="1"/>
      <c r="E194" s="1"/>
      <c r="F194" s="1"/>
      <c r="G194" s="1"/>
      <c r="H194" s="1"/>
      <c r="I194" s="1"/>
      <c r="J194" s="50">
        <f t="shared" si="4"/>
        <v>97644375361</v>
      </c>
      <c r="K194" s="50">
        <f t="shared" si="5"/>
        <v>64782879.207912602</v>
      </c>
      <c r="L194" s="1"/>
    </row>
    <row r="195" spans="1:12" ht="15" x14ac:dyDescent="0.25">
      <c r="A195" s="1"/>
      <c r="B195" s="9">
        <v>677</v>
      </c>
      <c r="C195" s="1"/>
      <c r="D195" s="1"/>
      <c r="E195" s="1"/>
      <c r="F195" s="1"/>
      <c r="G195" s="1"/>
      <c r="H195" s="1"/>
      <c r="I195" s="1"/>
      <c r="J195" s="50">
        <f t="shared" ref="J195:J202" si="6">B195^$F$86</f>
        <v>210065472241</v>
      </c>
      <c r="K195" s="50">
        <f t="shared" ref="K195:K202" si="7">(B195-$E$16)^$F$86</f>
        <v>640065.96169949777</v>
      </c>
      <c r="L195" s="1"/>
    </row>
    <row r="196" spans="1:12" ht="15" x14ac:dyDescent="0.25">
      <c r="A196" s="1"/>
      <c r="B196" s="9">
        <v>647</v>
      </c>
      <c r="C196" s="1"/>
      <c r="D196" s="1"/>
      <c r="E196" s="1"/>
      <c r="F196" s="1"/>
      <c r="G196" s="1"/>
      <c r="H196" s="1"/>
      <c r="I196" s="1"/>
      <c r="J196" s="50">
        <f t="shared" si="6"/>
        <v>175233494881</v>
      </c>
      <c r="K196" s="50">
        <f t="shared" si="7"/>
        <v>8.6508045006256413</v>
      </c>
      <c r="L196" s="1"/>
    </row>
    <row r="197" spans="1:12" ht="15" x14ac:dyDescent="0.25">
      <c r="A197" s="1"/>
      <c r="B197" s="9">
        <v>562</v>
      </c>
      <c r="C197" s="1"/>
      <c r="D197" s="1"/>
      <c r="E197" s="1"/>
      <c r="F197" s="1"/>
      <c r="G197" s="1"/>
      <c r="H197" s="1"/>
      <c r="I197" s="1"/>
      <c r="J197" s="50">
        <f t="shared" si="6"/>
        <v>99757432336</v>
      </c>
      <c r="K197" s="50">
        <f t="shared" si="7"/>
        <v>56542748.282852076</v>
      </c>
      <c r="L197" s="1"/>
    </row>
    <row r="198" spans="1:12" ht="15" x14ac:dyDescent="0.25">
      <c r="A198" s="1"/>
      <c r="B198" s="9">
        <v>641</v>
      </c>
      <c r="C198" s="1"/>
      <c r="D198" s="1"/>
      <c r="E198" s="1"/>
      <c r="F198" s="1"/>
      <c r="G198" s="1"/>
      <c r="H198" s="1"/>
      <c r="I198" s="1"/>
      <c r="J198" s="50">
        <f t="shared" si="6"/>
        <v>168823196161</v>
      </c>
      <c r="K198" s="50">
        <f t="shared" si="7"/>
        <v>3542.7762255006837</v>
      </c>
      <c r="L198" s="1"/>
    </row>
    <row r="199" spans="1:12" ht="15" x14ac:dyDescent="0.25">
      <c r="A199" s="1"/>
      <c r="B199" s="9">
        <v>491</v>
      </c>
      <c r="C199" s="1"/>
      <c r="D199" s="1"/>
      <c r="E199" s="1"/>
      <c r="F199" s="1"/>
      <c r="G199" s="1"/>
      <c r="H199" s="1"/>
      <c r="I199" s="1"/>
      <c r="J199" s="50">
        <f t="shared" si="6"/>
        <v>58120048561</v>
      </c>
      <c r="K199" s="50">
        <f t="shared" si="7"/>
        <v>618716931.90175104</v>
      </c>
      <c r="L199" s="1"/>
    </row>
    <row r="200" spans="1:12" ht="15" x14ac:dyDescent="0.25">
      <c r="A200" s="1"/>
      <c r="B200" s="9">
        <v>698</v>
      </c>
      <c r="C200" s="1"/>
      <c r="D200" s="1"/>
      <c r="E200" s="1"/>
      <c r="F200" s="1"/>
      <c r="G200" s="1"/>
      <c r="H200" s="1"/>
      <c r="I200" s="1"/>
      <c r="J200" s="50">
        <f t="shared" si="6"/>
        <v>237367737616</v>
      </c>
      <c r="K200" s="50">
        <f t="shared" si="7"/>
        <v>5900095.5311759859</v>
      </c>
      <c r="L200" s="1"/>
    </row>
    <row r="201" spans="1:12" ht="15" x14ac:dyDescent="0.25">
      <c r="A201" s="1"/>
      <c r="B201" s="9">
        <v>700</v>
      </c>
      <c r="C201" s="1"/>
      <c r="D201" s="1"/>
      <c r="E201" s="1"/>
      <c r="F201" s="1"/>
      <c r="G201" s="1"/>
      <c r="H201" s="1"/>
      <c r="I201" s="1"/>
      <c r="J201" s="50">
        <f t="shared" si="6"/>
        <v>240100000000</v>
      </c>
      <c r="K201" s="50">
        <f t="shared" si="7"/>
        <v>6917695.4663689844</v>
      </c>
      <c r="L201" s="1"/>
    </row>
    <row r="202" spans="1:12" ht="15" x14ac:dyDescent="0.25">
      <c r="A202" s="1"/>
      <c r="B202" s="49">
        <v>580</v>
      </c>
      <c r="C202" s="1"/>
      <c r="D202" s="1"/>
      <c r="E202" s="1"/>
      <c r="F202" s="1"/>
      <c r="G202" s="1"/>
      <c r="H202" s="1"/>
      <c r="I202" s="1"/>
      <c r="J202" s="50">
        <f t="shared" si="6"/>
        <v>113164960000</v>
      </c>
      <c r="K202" s="50">
        <f t="shared" si="7"/>
        <v>22294934.630789042</v>
      </c>
      <c r="L202" s="1"/>
    </row>
    <row r="203" spans="1:12" ht="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2"/>
      <c r="L203" s="1"/>
    </row>
  </sheetData>
  <mergeCells count="3">
    <mergeCell ref="D2:H2"/>
    <mergeCell ref="D3:H3"/>
    <mergeCell ref="D4:H4"/>
  </mergeCells>
  <pageMargins left="0.75" right="0.75" top="1" bottom="1" header="0.5" footer="0.5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2049" r:id="rId3">
          <objectPr defaultSize="0" autoPict="0" r:id="rId4">
            <anchor moveWithCells="1">
              <from>
                <xdr:col>5</xdr:col>
                <xdr:colOff>66675</xdr:colOff>
                <xdr:row>57</xdr:row>
                <xdr:rowOff>85725</xdr:rowOff>
              </from>
              <to>
                <xdr:col>6</xdr:col>
                <xdr:colOff>381000</xdr:colOff>
                <xdr:row>58</xdr:row>
                <xdr:rowOff>0</xdr:rowOff>
              </to>
            </anchor>
          </objectPr>
        </oleObject>
      </mc:Choice>
      <mc:Fallback>
        <oleObject progId="Equation.3" shapeId="2049" r:id="rId3"/>
      </mc:Fallback>
    </mc:AlternateContent>
    <mc:AlternateContent xmlns:mc="http://schemas.openxmlformats.org/markup-compatibility/2006">
      <mc:Choice Requires="x14">
        <oleObject progId="Equation.3" shapeId="2050" r:id="rId5">
          <objectPr defaultSize="0" autoPict="0" r:id="rId6">
            <anchor moveWithCells="1">
              <from>
                <xdr:col>5</xdr:col>
                <xdr:colOff>76200</xdr:colOff>
                <xdr:row>59</xdr:row>
                <xdr:rowOff>238125</xdr:rowOff>
              </from>
              <to>
                <xdr:col>6</xdr:col>
                <xdr:colOff>495300</xdr:colOff>
                <xdr:row>60</xdr:row>
                <xdr:rowOff>0</xdr:rowOff>
              </to>
            </anchor>
          </objectPr>
        </oleObject>
      </mc:Choice>
      <mc:Fallback>
        <oleObject progId="Equation.3" shapeId="2050" r:id="rId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O210"/>
  <sheetViews>
    <sheetView workbookViewId="0"/>
  </sheetViews>
  <sheetFormatPr defaultColWidth="0" defaultRowHeight="14.1" customHeight="1" zeroHeight="1" x14ac:dyDescent="0.25"/>
  <cols>
    <col min="1" max="1" width="2.375" style="3" customWidth="1"/>
    <col min="2" max="4" width="10.875" style="3" customWidth="1"/>
    <col min="5" max="5" width="50.875" style="3" customWidth="1"/>
    <col min="6" max="6" width="10.875" style="3" customWidth="1"/>
    <col min="7" max="7" width="3.875" style="3" customWidth="1"/>
    <col min="8" max="12" width="10.875" style="3" customWidth="1"/>
    <col min="13" max="13" width="10.875" style="3" hidden="1" customWidth="1"/>
    <col min="14" max="15" width="0" style="3" hidden="1" customWidth="1"/>
    <col min="16" max="16384" width="10.875" style="3" hidden="1"/>
  </cols>
  <sheetData>
    <row r="1" spans="1:15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30" x14ac:dyDescent="0.25">
      <c r="A2" s="1"/>
      <c r="B2" s="6" t="str">
        <f>IF(T!$D$2=T!$M$2,M5,IF(T!$D$2=T!$N$2,N5,O5))</f>
        <v>Reference number</v>
      </c>
      <c r="C2" s="6" t="str">
        <f>IF(T!$D$2=T!$M$2,M6,IF(T!$D$2=T!$N$2,N6,O6))</f>
        <v>Stature /cm</v>
      </c>
      <c r="D2" s="1"/>
      <c r="E2" s="57" t="str">
        <f>IF(T!$D$2=T!$M$2,M2,IF(T!$D$2=T!$N$2,N2,O2))</f>
        <v>We measured the stature (in cm) of a group of people.</v>
      </c>
      <c r="F2" s="1"/>
      <c r="G2" s="1"/>
      <c r="H2" s="1"/>
      <c r="I2" s="1"/>
      <c r="J2" s="1"/>
      <c r="K2" s="1"/>
      <c r="L2" s="1"/>
      <c r="M2" s="3" t="s">
        <v>227</v>
      </c>
      <c r="N2" s="3" t="s">
        <v>228</v>
      </c>
      <c r="O2" s="3" t="s">
        <v>229</v>
      </c>
    </row>
    <row r="3" spans="1:15" ht="15" x14ac:dyDescent="0.25">
      <c r="A3" s="1"/>
      <c r="B3" s="58">
        <v>1</v>
      </c>
      <c r="C3" s="58">
        <v>172</v>
      </c>
      <c r="D3" s="1"/>
      <c r="E3" s="59" t="str">
        <f>IF(T!$D$2=T!$M$2,M3,IF(T!$D$2=T!$N$2,N3,O3))</f>
        <v>Calculate the statistical parameters belonging to the data.</v>
      </c>
      <c r="F3" s="1"/>
      <c r="G3" s="1"/>
      <c r="H3" s="1"/>
      <c r="I3" s="1"/>
      <c r="J3" s="1"/>
      <c r="K3" s="1"/>
      <c r="L3" s="1"/>
      <c r="M3" s="3" t="s">
        <v>230</v>
      </c>
      <c r="N3" s="3" t="s">
        <v>231</v>
      </c>
      <c r="O3" s="3" t="s">
        <v>232</v>
      </c>
    </row>
    <row r="4" spans="1:15" ht="23.25" x14ac:dyDescent="0.35">
      <c r="A4" s="1"/>
      <c r="B4" s="58">
        <v>2</v>
      </c>
      <c r="C4" s="58">
        <v>179</v>
      </c>
      <c r="D4" s="1"/>
      <c r="E4" s="86" t="str">
        <f>IF(T!$D$2=T!$M$2,M4,IF(T!$D$2=T!$N$2,N4,O4))</f>
        <v>Give the asked values in the green cells.</v>
      </c>
      <c r="F4" s="87"/>
      <c r="G4" s="87"/>
      <c r="H4" s="87"/>
      <c r="I4" s="88"/>
      <c r="J4" s="1"/>
      <c r="K4" s="1"/>
      <c r="L4" s="1"/>
      <c r="M4" s="60" t="s">
        <v>9</v>
      </c>
      <c r="N4" s="61" t="s">
        <v>10</v>
      </c>
      <c r="O4" s="62" t="s">
        <v>11</v>
      </c>
    </row>
    <row r="5" spans="1:15" ht="15" x14ac:dyDescent="0.25">
      <c r="A5" s="1"/>
      <c r="B5" s="58">
        <v>3</v>
      </c>
      <c r="C5" s="58">
        <v>180</v>
      </c>
      <c r="D5" s="1"/>
      <c r="E5" s="1"/>
      <c r="F5" s="1"/>
      <c r="G5" s="1"/>
      <c r="H5" s="1"/>
      <c r="I5" s="1"/>
      <c r="J5" s="1"/>
      <c r="K5" s="1"/>
      <c r="L5" s="1"/>
      <c r="M5" s="3" t="s">
        <v>233</v>
      </c>
      <c r="N5" s="3" t="s">
        <v>234</v>
      </c>
      <c r="O5" s="3" t="s">
        <v>235</v>
      </c>
    </row>
    <row r="6" spans="1:15" ht="15" x14ac:dyDescent="0.25">
      <c r="A6" s="1"/>
      <c r="B6" s="58">
        <v>4</v>
      </c>
      <c r="C6" s="58">
        <v>177</v>
      </c>
      <c r="D6" s="1"/>
      <c r="E6" s="1"/>
      <c r="F6" s="1"/>
      <c r="G6" s="1"/>
      <c r="H6" s="1"/>
      <c r="I6" s="1"/>
      <c r="J6" s="1"/>
      <c r="K6" s="1"/>
      <c r="L6" s="1"/>
      <c r="M6" s="3" t="s">
        <v>236</v>
      </c>
      <c r="N6" s="3" t="s">
        <v>237</v>
      </c>
      <c r="O6" s="3" t="s">
        <v>238</v>
      </c>
    </row>
    <row r="7" spans="1:15" ht="15" x14ac:dyDescent="0.25">
      <c r="A7" s="1"/>
      <c r="B7" s="58">
        <v>5</v>
      </c>
      <c r="C7" s="58">
        <v>173</v>
      </c>
      <c r="D7" s="1"/>
      <c r="E7" s="6" t="str">
        <f>IF(T!$D$2=T!$M$2,M8,IF(T!$D$2=T!$N$2,N8,O8))</f>
        <v>size of data set</v>
      </c>
      <c r="F7" s="18"/>
      <c r="G7" s="19" t="str">
        <f>IF(F7="","×",IF(F7='2m'!F7,"✓","×"))</f>
        <v>×</v>
      </c>
      <c r="H7" s="1"/>
      <c r="I7" s="1"/>
      <c r="J7" s="1"/>
      <c r="K7" s="1"/>
      <c r="L7" s="1"/>
      <c r="M7" s="3" t="s">
        <v>239</v>
      </c>
      <c r="N7" s="3" t="s">
        <v>240</v>
      </c>
      <c r="O7" s="3" t="s">
        <v>241</v>
      </c>
    </row>
    <row r="8" spans="1:15" ht="15" x14ac:dyDescent="0.25">
      <c r="A8" s="1"/>
      <c r="B8" s="58">
        <v>6</v>
      </c>
      <c r="C8" s="58">
        <v>171</v>
      </c>
      <c r="D8" s="1"/>
      <c r="E8" s="6" t="str">
        <f>IF(T!$D$2=T!$M$2,M9,IF(T!$D$2=T!$N$2,N9,O9))</f>
        <v>mode</v>
      </c>
      <c r="F8" s="18"/>
      <c r="G8" s="19" t="str">
        <f>IF(F8="","×",IF(F8='2m'!F8,"✓","×"))</f>
        <v>×</v>
      </c>
      <c r="H8" s="1"/>
      <c r="I8" s="1"/>
      <c r="J8" s="1"/>
      <c r="K8" s="1"/>
      <c r="L8" s="1"/>
      <c r="M8" s="3" t="s">
        <v>15</v>
      </c>
      <c r="N8" s="3" t="s">
        <v>242</v>
      </c>
      <c r="O8" s="3" t="s">
        <v>243</v>
      </c>
    </row>
    <row r="9" spans="1:15" ht="15" x14ac:dyDescent="0.25">
      <c r="A9" s="1"/>
      <c r="B9" s="58">
        <v>7</v>
      </c>
      <c r="C9" s="58">
        <v>169</v>
      </c>
      <c r="D9" s="1"/>
      <c r="E9" s="6" t="str">
        <f>IF(T!$D$2=T!$M$2,M10,IF(T!$D$2=T!$N$2,N10,O10))</f>
        <v>How many times does the mode occur among the data?</v>
      </c>
      <c r="F9" s="18"/>
      <c r="G9" s="19" t="str">
        <f>IF(F9="","×",IF(F9='2m'!F9,"✓","×"))</f>
        <v>×</v>
      </c>
      <c r="H9" s="1"/>
      <c r="I9" s="1"/>
      <c r="J9" s="1"/>
      <c r="K9" s="1"/>
      <c r="L9" s="1"/>
      <c r="M9" s="3" t="s">
        <v>244</v>
      </c>
      <c r="N9" s="3" t="s">
        <v>245</v>
      </c>
      <c r="O9" s="3" t="s">
        <v>246</v>
      </c>
    </row>
    <row r="10" spans="1:15" ht="15" x14ac:dyDescent="0.25">
      <c r="A10" s="1"/>
      <c r="B10" s="58">
        <v>8</v>
      </c>
      <c r="C10" s="58">
        <v>171</v>
      </c>
      <c r="D10" s="1"/>
      <c r="E10" s="6" t="str">
        <f>IF(T!$D$2=T!$M$2,M11,IF(T!$D$2=T!$N$2,N11,O11))</f>
        <v>median</v>
      </c>
      <c r="F10" s="18"/>
      <c r="G10" s="19" t="str">
        <f>IF(F10="","×",IF(F10='2m'!F10,"✓","×"))</f>
        <v>×</v>
      </c>
      <c r="H10" s="1"/>
      <c r="I10" s="1"/>
      <c r="J10" s="1"/>
      <c r="K10" s="1"/>
      <c r="L10" s="1"/>
      <c r="M10" s="3" t="s">
        <v>247</v>
      </c>
      <c r="N10" s="3" t="s">
        <v>248</v>
      </c>
      <c r="O10" s="3" t="s">
        <v>249</v>
      </c>
    </row>
    <row r="11" spans="1:15" ht="15" x14ac:dyDescent="0.25">
      <c r="A11" s="1"/>
      <c r="B11" s="58">
        <v>9</v>
      </c>
      <c r="C11" s="58">
        <v>176</v>
      </c>
      <c r="D11" s="1"/>
      <c r="E11" s="6" t="str">
        <f>IF(T!$D$2=T!$M$2,M12,IF(T!$D$2=T!$N$2,N12,O12))</f>
        <v>mean</v>
      </c>
      <c r="F11" s="18"/>
      <c r="G11" s="19" t="str">
        <f>IF(F11="","×",IF(F11='2m'!F11,"✓","×"))</f>
        <v>×</v>
      </c>
      <c r="H11" s="1"/>
      <c r="I11" s="1"/>
      <c r="J11" s="1"/>
      <c r="K11" s="1"/>
      <c r="L11" s="1"/>
      <c r="M11" s="3" t="s">
        <v>250</v>
      </c>
      <c r="N11" s="3" t="s">
        <v>251</v>
      </c>
      <c r="O11" s="3" t="s">
        <v>252</v>
      </c>
    </row>
    <row r="12" spans="1:15" ht="15" x14ac:dyDescent="0.25">
      <c r="A12" s="1"/>
      <c r="B12" s="58">
        <v>10</v>
      </c>
      <c r="C12" s="58">
        <v>174</v>
      </c>
      <c r="D12" s="1"/>
      <c r="E12" s="6" t="str">
        <f>IF(T!$D$2=T!$M$2,M13,IF(T!$D$2=T!$N$2,N13,O13))</f>
        <v>minimum</v>
      </c>
      <c r="F12" s="18"/>
      <c r="G12" s="19" t="str">
        <f>IF(F12="","×",IF(F12='2m'!F12,"✓","×"))</f>
        <v>×</v>
      </c>
      <c r="H12" s="1"/>
      <c r="I12" s="1"/>
      <c r="J12" s="1"/>
      <c r="K12" s="1"/>
      <c r="L12" s="1"/>
      <c r="M12" s="3" t="s">
        <v>253</v>
      </c>
      <c r="N12" s="3" t="s">
        <v>254</v>
      </c>
      <c r="O12" s="3" t="s">
        <v>183</v>
      </c>
    </row>
    <row r="13" spans="1:15" ht="15" x14ac:dyDescent="0.25">
      <c r="A13" s="1"/>
      <c r="B13" s="58">
        <v>11</v>
      </c>
      <c r="C13" s="58">
        <v>173</v>
      </c>
      <c r="D13" s="1"/>
      <c r="E13" s="6" t="str">
        <f>IF(T!$D$2=T!$M$2,M14,IF(T!$D$2=T!$N$2,N14,O14))</f>
        <v>maximum</v>
      </c>
      <c r="F13" s="18"/>
      <c r="G13" s="19" t="str">
        <f>IF(F13="","×",IF(F13='2m'!F13,"✓","×"))</f>
        <v>×</v>
      </c>
      <c r="H13" s="1"/>
      <c r="I13" s="1"/>
      <c r="J13" s="1"/>
      <c r="K13" s="1"/>
      <c r="L13" s="1"/>
      <c r="M13" s="3" t="s">
        <v>255</v>
      </c>
      <c r="N13" s="3" t="s">
        <v>256</v>
      </c>
      <c r="O13" s="3" t="s">
        <v>255</v>
      </c>
    </row>
    <row r="14" spans="1:15" ht="15" x14ac:dyDescent="0.25">
      <c r="A14" s="1"/>
      <c r="B14" s="58">
        <v>12</v>
      </c>
      <c r="C14" s="58">
        <v>176</v>
      </c>
      <c r="D14" s="1"/>
      <c r="E14" s="6" t="str">
        <f>IF(T!$D$2=T!$M$2,M15,IF(T!$D$2=T!$N$2,N15,O15))</f>
        <v>lower quartile</v>
      </c>
      <c r="F14" s="18"/>
      <c r="G14" s="19" t="str">
        <f>IF(F14="","×",IF(F14='2m'!F14,"✓","×"))</f>
        <v>×</v>
      </c>
      <c r="H14" s="1"/>
      <c r="I14" s="1"/>
      <c r="J14" s="1"/>
      <c r="K14" s="1"/>
      <c r="L14" s="1"/>
      <c r="M14" s="3" t="s">
        <v>257</v>
      </c>
      <c r="N14" s="3" t="s">
        <v>258</v>
      </c>
      <c r="O14" s="3" t="s">
        <v>257</v>
      </c>
    </row>
    <row r="15" spans="1:15" ht="15" x14ac:dyDescent="0.25">
      <c r="A15" s="1"/>
      <c r="B15" s="58">
        <v>13</v>
      </c>
      <c r="C15" s="58">
        <v>166</v>
      </c>
      <c r="D15" s="1"/>
      <c r="E15" s="6" t="str">
        <f>IF(T!$D$2=T!$M$2,M16,IF(T!$D$2=T!$N$2,N16,O16))</f>
        <v>upper quartile</v>
      </c>
      <c r="F15" s="18"/>
      <c r="G15" s="19" t="str">
        <f>IF(F15="","×",IF(F15='2m'!F15,"✓","×"))</f>
        <v>×</v>
      </c>
      <c r="H15" s="1"/>
      <c r="I15" s="1"/>
      <c r="J15" s="1"/>
      <c r="K15" s="1"/>
      <c r="L15" s="1"/>
      <c r="M15" s="3" t="s">
        <v>72</v>
      </c>
      <c r="N15" s="3" t="s">
        <v>259</v>
      </c>
      <c r="O15" s="3" t="s">
        <v>74</v>
      </c>
    </row>
    <row r="16" spans="1:15" ht="15" x14ac:dyDescent="0.25">
      <c r="A16" s="1"/>
      <c r="B16" s="58">
        <v>14</v>
      </c>
      <c r="C16" s="58">
        <v>157</v>
      </c>
      <c r="D16" s="1"/>
      <c r="E16" s="6" t="str">
        <f>IF(T!$D$2=T!$M$2,M17,IF(T!$D$2=T!$N$2,N17,O17))</f>
        <v>third quintile</v>
      </c>
      <c r="F16" s="18"/>
      <c r="G16" s="19" t="str">
        <f>IF(F16="","×",IF(F16='2m'!F16,"✓","×"))</f>
        <v>×</v>
      </c>
      <c r="H16" s="1"/>
      <c r="I16" s="1"/>
      <c r="J16" s="1"/>
      <c r="K16" s="1"/>
      <c r="L16" s="1"/>
      <c r="M16" s="3" t="s">
        <v>76</v>
      </c>
      <c r="N16" s="3" t="s">
        <v>260</v>
      </c>
      <c r="O16" s="3" t="s">
        <v>78</v>
      </c>
    </row>
    <row r="17" spans="1:15" ht="15" x14ac:dyDescent="0.25">
      <c r="A17" s="1"/>
      <c r="B17" s="58">
        <v>15</v>
      </c>
      <c r="C17" s="58">
        <v>180</v>
      </c>
      <c r="D17" s="1"/>
      <c r="E17" s="6" t="str">
        <f>IF(T!$D$2=T!$M$2,M18,IF(T!$D$2=T!$N$2,N18,O18))</f>
        <v>17th percentile</v>
      </c>
      <c r="F17" s="18"/>
      <c r="G17" s="19" t="str">
        <f>IF(F17="","×",IF(F17='2m'!F17,"✓","×"))</f>
        <v>×</v>
      </c>
      <c r="H17" s="1"/>
      <c r="I17" s="1"/>
      <c r="J17" s="1"/>
      <c r="K17" s="1"/>
      <c r="L17" s="1"/>
      <c r="M17" s="3" t="s">
        <v>261</v>
      </c>
      <c r="N17" s="3" t="s">
        <v>262</v>
      </c>
      <c r="O17" s="3" t="s">
        <v>263</v>
      </c>
    </row>
    <row r="18" spans="1:15" ht="15" x14ac:dyDescent="0.25">
      <c r="A18" s="1"/>
      <c r="B18" s="58">
        <v>16</v>
      </c>
      <c r="C18" s="58">
        <v>188</v>
      </c>
      <c r="D18" s="1"/>
      <c r="E18" s="6" t="str">
        <f>IF(T!$D$2=T!$M$2,M19,IF(T!$D$2=T!$N$2,N19,O19))</f>
        <v>0.87 kvantile</v>
      </c>
      <c r="F18" s="18"/>
      <c r="G18" s="19" t="str">
        <f>IF(F18="","×",IF(F18='2m'!F18,"✓","×"))</f>
        <v>×</v>
      </c>
      <c r="H18" s="1"/>
      <c r="I18" s="1"/>
      <c r="J18" s="1"/>
      <c r="K18" s="1"/>
      <c r="L18" s="1"/>
      <c r="M18" s="3" t="s">
        <v>264</v>
      </c>
      <c r="N18" s="3" t="s">
        <v>265</v>
      </c>
      <c r="O18" s="3" t="s">
        <v>266</v>
      </c>
    </row>
    <row r="19" spans="1:15" ht="15" x14ac:dyDescent="0.25">
      <c r="A19" s="1"/>
      <c r="B19" s="58">
        <v>17</v>
      </c>
      <c r="C19" s="58">
        <v>174</v>
      </c>
      <c r="D19" s="1"/>
      <c r="E19" s="6" t="str">
        <f>IF(T!$D$2=T!$M$2,M20,IF(T!$D$2=T!$N$2,N20,O20))</f>
        <v>What percent of the data is less than 170 cm?</v>
      </c>
      <c r="F19" s="63"/>
      <c r="G19" s="19" t="str">
        <f>IF(F19="","×",IF(F19='2m'!F19,"✓","×"))</f>
        <v>×</v>
      </c>
      <c r="H19" s="1"/>
      <c r="I19" s="1"/>
      <c r="J19" s="1"/>
      <c r="K19" s="1"/>
      <c r="L19" s="1"/>
      <c r="M19" s="3" t="s">
        <v>267</v>
      </c>
      <c r="N19" s="3" t="s">
        <v>268</v>
      </c>
      <c r="O19" s="3" t="s">
        <v>269</v>
      </c>
    </row>
    <row r="20" spans="1:15" ht="15" x14ac:dyDescent="0.25">
      <c r="A20" s="1"/>
      <c r="B20" s="58">
        <v>18</v>
      </c>
      <c r="C20" s="58">
        <v>155</v>
      </c>
      <c r="D20" s="1"/>
      <c r="E20" s="6" t="str">
        <f>IF(T!$D$2=T!$M$2,M21,IF(T!$D$2=T!$N$2,N21,O21))</f>
        <v>What percent of the data is greater than 180 cm?</v>
      </c>
      <c r="F20" s="63"/>
      <c r="G20" s="19" t="str">
        <f>IF(F20="","×",IF(F20='2m'!F20,"✓","×"))</f>
        <v>×</v>
      </c>
      <c r="H20" s="1"/>
      <c r="I20" s="1"/>
      <c r="J20" s="1"/>
      <c r="K20" s="1"/>
      <c r="L20" s="1"/>
      <c r="M20" s="3" t="s">
        <v>270</v>
      </c>
      <c r="N20" s="3" t="s">
        <v>271</v>
      </c>
      <c r="O20" s="3" t="s">
        <v>272</v>
      </c>
    </row>
    <row r="21" spans="1:15" ht="15" x14ac:dyDescent="0.25">
      <c r="A21" s="1"/>
      <c r="B21" s="58">
        <v>19</v>
      </c>
      <c r="C21" s="58">
        <v>179</v>
      </c>
      <c r="D21" s="1"/>
      <c r="E21" s="6" t="str">
        <f>IF(T!$D$2=T!$M$2,M22,IF(T!$D$2=T!$N$2,N22,O22))</f>
        <v>range</v>
      </c>
      <c r="F21" s="18"/>
      <c r="G21" s="19" t="str">
        <f>IF(F21="","×",IF(F21='2m'!F21,"✓","×"))</f>
        <v>×</v>
      </c>
      <c r="H21" s="1"/>
      <c r="I21" s="1"/>
      <c r="J21" s="1"/>
      <c r="K21" s="1"/>
      <c r="L21" s="1"/>
      <c r="M21" s="3" t="s">
        <v>273</v>
      </c>
      <c r="N21" s="3" t="s">
        <v>274</v>
      </c>
      <c r="O21" s="3" t="s">
        <v>275</v>
      </c>
    </row>
    <row r="22" spans="1:15" ht="15" x14ac:dyDescent="0.25">
      <c r="A22" s="1"/>
      <c r="B22" s="58">
        <v>20</v>
      </c>
      <c r="C22" s="58">
        <v>188</v>
      </c>
      <c r="D22" s="1"/>
      <c r="E22" s="6" t="str">
        <f>IF(T!$D$2=T!$M$2,M23,IF(T!$D$2=T!$N$2,N23,O23))</f>
        <v>interquartile range</v>
      </c>
      <c r="F22" s="18"/>
      <c r="G22" s="19" t="str">
        <f>IF(F22="","×",IF(F22='2m'!F22,"✓","×"))</f>
        <v>×</v>
      </c>
      <c r="H22" s="1"/>
      <c r="I22" s="1"/>
      <c r="J22" s="1"/>
      <c r="K22" s="1"/>
      <c r="L22" s="1"/>
      <c r="M22" s="3" t="s">
        <v>276</v>
      </c>
      <c r="N22" s="3" t="s">
        <v>277</v>
      </c>
      <c r="O22" s="3" t="s">
        <v>278</v>
      </c>
    </row>
    <row r="23" spans="1:15" ht="15" x14ac:dyDescent="0.25">
      <c r="A23" s="1"/>
      <c r="B23" s="58">
        <v>21</v>
      </c>
      <c r="C23" s="58">
        <v>173</v>
      </c>
      <c r="D23" s="1"/>
      <c r="E23" s="6" t="str">
        <f>IF(T!$D$2=T!$M$2,M24,IF(T!$D$2=T!$N$2,N24,O24))</f>
        <v>interoctile range</v>
      </c>
      <c r="F23" s="18"/>
      <c r="G23" s="19" t="str">
        <f>IF(F23="","×",IF(F23='2m'!F23,"✓","×"))</f>
        <v>×</v>
      </c>
      <c r="H23" s="1"/>
      <c r="I23" s="1"/>
      <c r="J23" s="1"/>
      <c r="K23" s="1"/>
      <c r="L23" s="1"/>
      <c r="M23" s="3" t="s">
        <v>279</v>
      </c>
      <c r="N23" s="3" t="s">
        <v>280</v>
      </c>
      <c r="O23" s="3" t="s">
        <v>281</v>
      </c>
    </row>
    <row r="24" spans="1:15" ht="15" x14ac:dyDescent="0.25">
      <c r="A24" s="1"/>
      <c r="B24" s="58">
        <v>22</v>
      </c>
      <c r="C24" s="58">
        <v>171</v>
      </c>
      <c r="D24" s="1"/>
      <c r="E24" s="6" t="str">
        <f>IF(T!$D$2=T!$M$2,M25,IF(T!$D$2=T!$N$2,N25,O25))</f>
        <v>interdecile range</v>
      </c>
      <c r="F24" s="18"/>
      <c r="G24" s="19" t="str">
        <f>IF(F24="","×",IF(F24='2m'!F24,"✓","×"))</f>
        <v>×</v>
      </c>
      <c r="H24" s="1"/>
      <c r="I24" s="1"/>
      <c r="J24" s="1"/>
      <c r="K24" s="1"/>
      <c r="L24" s="1"/>
      <c r="M24" s="3" t="s">
        <v>282</v>
      </c>
      <c r="N24" s="3" t="s">
        <v>283</v>
      </c>
      <c r="O24" s="3" t="s">
        <v>284</v>
      </c>
    </row>
    <row r="25" spans="1:15" ht="30" x14ac:dyDescent="0.25">
      <c r="A25" s="1"/>
      <c r="B25" s="58">
        <v>23</v>
      </c>
      <c r="C25" s="58">
        <v>164</v>
      </c>
      <c r="D25" s="1"/>
      <c r="E25" s="6" t="str">
        <f>IF(T!$D$2=T!$M$2,M26,IF(T!$D$2=T!$N$2,N26,O26))</f>
        <v>standard deviation without correction (standard deviation of the data)</v>
      </c>
      <c r="F25" s="18"/>
      <c r="G25" s="19" t="str">
        <f>IF(F25="","×",IF(F25='2m'!F25,"✓","×"))</f>
        <v>×</v>
      </c>
      <c r="H25" s="1"/>
      <c r="I25" s="1"/>
      <c r="J25" s="1"/>
      <c r="K25" s="1"/>
      <c r="L25" s="1"/>
      <c r="M25" s="3" t="s">
        <v>285</v>
      </c>
      <c r="N25" s="3" t="s">
        <v>286</v>
      </c>
      <c r="O25" s="3" t="s">
        <v>287</v>
      </c>
    </row>
    <row r="26" spans="1:15" ht="30" x14ac:dyDescent="0.25">
      <c r="A26" s="1"/>
      <c r="B26" s="58">
        <v>24</v>
      </c>
      <c r="C26" s="58">
        <v>172</v>
      </c>
      <c r="D26" s="1"/>
      <c r="E26" s="6" t="str">
        <f>IF(T!$D$2=T!$M$2,M27,IF(T!$D$2=T!$N$2,N27,O27))</f>
        <v>standard deviation with correction (estimation of the theoretical standard deviation)</v>
      </c>
      <c r="F26" s="18"/>
      <c r="G26" s="19" t="str">
        <f>IF(F26="","×",IF(F26='2m'!F26,"✓","×"))</f>
        <v>×</v>
      </c>
      <c r="H26" s="1"/>
      <c r="I26" s="1"/>
      <c r="J26" s="1"/>
      <c r="K26" s="1"/>
      <c r="L26" s="1"/>
      <c r="M26" s="3" t="s">
        <v>288</v>
      </c>
      <c r="N26" s="3" t="s">
        <v>289</v>
      </c>
      <c r="O26" s="3" t="s">
        <v>290</v>
      </c>
    </row>
    <row r="27" spans="1:15" ht="15" x14ac:dyDescent="0.25">
      <c r="A27" s="1"/>
      <c r="B27" s="58">
        <v>25</v>
      </c>
      <c r="C27" s="58">
        <v>160</v>
      </c>
      <c r="D27" s="1"/>
      <c r="E27" s="6" t="str">
        <f>IF(T!$D$2=T!$M$2,M28,IF(T!$D$2=T!$N$2,N28,O28))</f>
        <v>variance without correction (variance of the data)</v>
      </c>
      <c r="F27" s="18"/>
      <c r="G27" s="19" t="str">
        <f>IF(F27="","×",IF(F27='2m'!F27,"✓","×"))</f>
        <v>×</v>
      </c>
      <c r="H27" s="1"/>
      <c r="I27" s="1"/>
      <c r="J27" s="1"/>
      <c r="K27" s="1"/>
      <c r="L27" s="1"/>
      <c r="M27" s="3" t="s">
        <v>291</v>
      </c>
      <c r="N27" s="3" t="s">
        <v>292</v>
      </c>
      <c r="O27" s="3" t="s">
        <v>293</v>
      </c>
    </row>
    <row r="28" spans="1:15" ht="30" x14ac:dyDescent="0.25">
      <c r="A28" s="1"/>
      <c r="B28" s="58">
        <v>26</v>
      </c>
      <c r="C28" s="58">
        <v>175</v>
      </c>
      <c r="D28" s="1"/>
      <c r="E28" s="6" t="str">
        <f>IF(T!$D$2=T!$M$2,M29,IF(T!$D$2=T!$N$2,N29,O29))</f>
        <v>variance with correction (estimation of the theoretical variance)</v>
      </c>
      <c r="F28" s="18"/>
      <c r="G28" s="19" t="str">
        <f>IF(F28="","×",IF(F28='2m'!F28,"✓","×"))</f>
        <v>×</v>
      </c>
      <c r="H28" s="1"/>
      <c r="I28" s="1"/>
      <c r="J28" s="1"/>
      <c r="K28" s="1"/>
      <c r="L28" s="1"/>
      <c r="M28" s="3" t="s">
        <v>294</v>
      </c>
      <c r="N28" s="3" t="s">
        <v>295</v>
      </c>
      <c r="O28" s="3" t="s">
        <v>296</v>
      </c>
    </row>
    <row r="29" spans="1:15" ht="15" x14ac:dyDescent="0.25">
      <c r="A29" s="1"/>
      <c r="B29" s="58">
        <v>27</v>
      </c>
      <c r="C29" s="58">
        <v>176</v>
      </c>
      <c r="D29" s="1"/>
      <c r="E29" s="6" t="str">
        <f>IF(T!$D$2=T!$M$2,M30,IF(T!$D$2=T!$N$2,N30,O30))</f>
        <v>skew</v>
      </c>
      <c r="F29" s="18"/>
      <c r="G29" s="19" t="str">
        <f>IF(F29="","×",IF(F29='2m'!F29,"✓","×"))</f>
        <v>×</v>
      </c>
      <c r="H29" s="1"/>
      <c r="I29" s="1"/>
      <c r="J29" s="1"/>
      <c r="K29" s="1"/>
      <c r="L29" s="1"/>
      <c r="M29" s="3" t="s">
        <v>297</v>
      </c>
      <c r="N29" s="3" t="s">
        <v>298</v>
      </c>
      <c r="O29" s="3" t="s">
        <v>299</v>
      </c>
    </row>
    <row r="30" spans="1:15" ht="30" x14ac:dyDescent="0.25">
      <c r="A30" s="1"/>
      <c r="B30" s="58">
        <v>28</v>
      </c>
      <c r="C30" s="58">
        <v>163</v>
      </c>
      <c r="D30" s="1"/>
      <c r="E30" s="6" t="str">
        <f>IF(T!$D$2=T!$M$2,M31,IF(T!$D$2=T!$N$2,N31,O31))</f>
        <v>Is the data distribution skewed to the right or ti the left? (right=1, left=2)</v>
      </c>
      <c r="F30" s="18"/>
      <c r="G30" s="19" t="str">
        <f>IF(F30="","×",IF(F30='2m'!F30,"✓","×"))</f>
        <v>×</v>
      </c>
      <c r="H30" s="1"/>
      <c r="I30" s="1"/>
      <c r="J30" s="1"/>
      <c r="K30" s="1"/>
      <c r="L30" s="1"/>
      <c r="M30" s="3" t="s">
        <v>300</v>
      </c>
      <c r="N30" s="3" t="s">
        <v>301</v>
      </c>
      <c r="O30" s="3" t="s">
        <v>302</v>
      </c>
    </row>
    <row r="31" spans="1:15" ht="15" x14ac:dyDescent="0.25">
      <c r="A31" s="1"/>
      <c r="B31" s="58">
        <v>29</v>
      </c>
      <c r="C31" s="58">
        <v>156</v>
      </c>
      <c r="D31" s="1"/>
      <c r="E31" s="6" t="str">
        <f>IF(T!$D$2=T!$M$2,M32,IF(T!$D$2=T!$N$2,N32,O32))</f>
        <v>kurtosis</v>
      </c>
      <c r="F31" s="18"/>
      <c r="G31" s="19" t="str">
        <f>IF(F31="","×",IF(F31='2m'!F31,"✓","×"))</f>
        <v>×</v>
      </c>
      <c r="H31" s="1"/>
      <c r="I31" s="1"/>
      <c r="J31" s="1"/>
      <c r="K31" s="1"/>
      <c r="L31" s="1"/>
      <c r="M31" s="3" t="s">
        <v>303</v>
      </c>
      <c r="N31" s="3" t="s">
        <v>304</v>
      </c>
      <c r="O31" s="3" t="s">
        <v>305</v>
      </c>
    </row>
    <row r="32" spans="1:15" ht="15" x14ac:dyDescent="0.25">
      <c r="A32" s="1"/>
      <c r="B32" s="58">
        <v>30</v>
      </c>
      <c r="C32" s="58">
        <v>183</v>
      </c>
      <c r="D32" s="1"/>
      <c r="E32" s="6" t="str">
        <f>IF(T!$D$2=T!$M$2,M33,IF(T!$D$2=T!$N$2,N33,O33))</f>
        <v>Is the data set leptokurtic or platykurtic? (lepto=1, platy=2)</v>
      </c>
      <c r="F32" s="18"/>
      <c r="G32" s="19" t="str">
        <f>IF(F32="","×",IF(F32='2m'!F32,"✓","×"))</f>
        <v>×</v>
      </c>
      <c r="H32" s="1"/>
      <c r="I32" s="1"/>
      <c r="J32" s="1"/>
      <c r="K32" s="1"/>
      <c r="L32" s="1"/>
      <c r="M32" s="3" t="s">
        <v>306</v>
      </c>
      <c r="N32" s="3" t="s">
        <v>307</v>
      </c>
      <c r="O32" s="3" t="s">
        <v>308</v>
      </c>
    </row>
    <row r="33" spans="1:15" ht="15" x14ac:dyDescent="0.25">
      <c r="A33" s="1"/>
      <c r="B33" s="58">
        <v>31</v>
      </c>
      <c r="C33" s="58">
        <v>160</v>
      </c>
      <c r="D33" s="1"/>
      <c r="E33" s="1"/>
      <c r="F33" s="1"/>
      <c r="G33" s="1"/>
      <c r="H33" s="1"/>
      <c r="I33" s="1"/>
      <c r="J33" s="1"/>
      <c r="K33" s="1"/>
      <c r="L33" s="1"/>
      <c r="M33" s="3" t="s">
        <v>309</v>
      </c>
      <c r="N33" s="3" t="s">
        <v>310</v>
      </c>
      <c r="O33" s="3" t="s">
        <v>311</v>
      </c>
    </row>
    <row r="34" spans="1:15" ht="15" x14ac:dyDescent="0.25">
      <c r="A34" s="1"/>
      <c r="B34" s="58">
        <v>32</v>
      </c>
      <c r="C34" s="58">
        <v>169</v>
      </c>
      <c r="D34" s="1"/>
      <c r="E34" s="1"/>
      <c r="F34" s="1"/>
      <c r="G34" s="1"/>
      <c r="H34" s="1"/>
      <c r="I34" s="1"/>
      <c r="J34" s="1"/>
      <c r="K34" s="1"/>
      <c r="L34" s="1"/>
    </row>
    <row r="35" spans="1:15" ht="15" x14ac:dyDescent="0.25">
      <c r="A35" s="1"/>
      <c r="B35" s="58">
        <v>33</v>
      </c>
      <c r="C35" s="58">
        <v>160</v>
      </c>
      <c r="D35" s="1"/>
      <c r="E35" s="1"/>
      <c r="F35" s="1"/>
      <c r="G35" s="1"/>
      <c r="H35" s="1"/>
      <c r="I35" s="1"/>
      <c r="J35" s="1"/>
      <c r="K35" s="1"/>
      <c r="L35" s="1"/>
    </row>
    <row r="36" spans="1:15" ht="15" x14ac:dyDescent="0.25">
      <c r="A36" s="1"/>
      <c r="B36" s="58">
        <v>34</v>
      </c>
      <c r="C36" s="58">
        <v>166</v>
      </c>
      <c r="D36" s="1"/>
      <c r="E36" s="1"/>
      <c r="F36" s="1"/>
      <c r="G36" s="1"/>
      <c r="H36" s="1"/>
      <c r="I36" s="1"/>
      <c r="J36" s="1"/>
      <c r="K36" s="1"/>
      <c r="L36" s="1"/>
    </row>
    <row r="37" spans="1:15" ht="15" x14ac:dyDescent="0.25">
      <c r="A37" s="1"/>
      <c r="B37" s="58">
        <v>35</v>
      </c>
      <c r="C37" s="58">
        <v>163</v>
      </c>
      <c r="D37" s="1"/>
      <c r="E37" s="1"/>
      <c r="F37" s="1"/>
      <c r="G37" s="1"/>
      <c r="H37" s="1"/>
      <c r="I37" s="1"/>
      <c r="J37" s="1"/>
      <c r="K37" s="1"/>
      <c r="L37" s="1"/>
    </row>
    <row r="38" spans="1:15" ht="15" x14ac:dyDescent="0.25">
      <c r="A38" s="1"/>
      <c r="B38" s="58">
        <v>36</v>
      </c>
      <c r="C38" s="58">
        <v>179</v>
      </c>
      <c r="D38" s="1"/>
      <c r="E38" s="1"/>
      <c r="F38" s="1"/>
      <c r="G38" s="1"/>
      <c r="H38" s="1"/>
      <c r="I38" s="1"/>
      <c r="J38" s="1"/>
      <c r="K38" s="1"/>
      <c r="L38" s="1"/>
    </row>
    <row r="39" spans="1:15" ht="15" x14ac:dyDescent="0.25">
      <c r="A39" s="1"/>
      <c r="B39" s="58">
        <v>37</v>
      </c>
      <c r="C39" s="58">
        <v>162</v>
      </c>
      <c r="D39" s="1"/>
      <c r="E39" s="1"/>
      <c r="F39" s="1"/>
      <c r="G39" s="1"/>
      <c r="H39" s="1"/>
      <c r="I39" s="1"/>
      <c r="J39" s="1"/>
      <c r="K39" s="1"/>
      <c r="L39" s="1"/>
    </row>
    <row r="40" spans="1:15" ht="15" x14ac:dyDescent="0.25">
      <c r="A40" s="1"/>
      <c r="B40" s="58">
        <v>38</v>
      </c>
      <c r="C40" s="58">
        <v>165</v>
      </c>
      <c r="D40" s="1"/>
      <c r="E40" s="1"/>
      <c r="F40" s="1"/>
      <c r="G40" s="1"/>
      <c r="H40" s="1"/>
      <c r="I40" s="1"/>
      <c r="J40" s="1"/>
      <c r="K40" s="1"/>
      <c r="L40" s="1"/>
    </row>
    <row r="41" spans="1:15" ht="15" x14ac:dyDescent="0.25">
      <c r="A41" s="1"/>
      <c r="B41" s="58">
        <v>39</v>
      </c>
      <c r="C41" s="58">
        <v>173</v>
      </c>
      <c r="D41" s="1"/>
      <c r="E41" s="1"/>
      <c r="F41" s="1"/>
      <c r="G41" s="1"/>
      <c r="H41" s="1"/>
      <c r="I41" s="1"/>
      <c r="J41" s="1"/>
      <c r="K41" s="1"/>
      <c r="L41" s="1"/>
    </row>
    <row r="42" spans="1:15" ht="15" x14ac:dyDescent="0.25">
      <c r="A42" s="1"/>
      <c r="B42" s="58">
        <v>40</v>
      </c>
      <c r="C42" s="58">
        <v>160</v>
      </c>
      <c r="D42" s="1"/>
      <c r="E42" s="1"/>
      <c r="F42" s="1"/>
      <c r="G42" s="1"/>
      <c r="H42" s="1"/>
      <c r="I42" s="1"/>
      <c r="J42" s="1"/>
      <c r="K42" s="1"/>
      <c r="L42" s="1"/>
    </row>
    <row r="43" spans="1:15" ht="15" x14ac:dyDescent="0.25">
      <c r="A43" s="1"/>
      <c r="B43" s="58">
        <v>41</v>
      </c>
      <c r="C43" s="58">
        <v>177</v>
      </c>
      <c r="D43" s="1"/>
      <c r="E43" s="1"/>
      <c r="F43" s="1"/>
      <c r="G43" s="1"/>
      <c r="H43" s="1"/>
      <c r="I43" s="1"/>
      <c r="J43" s="1"/>
      <c r="K43" s="1"/>
      <c r="L43" s="1"/>
    </row>
    <row r="44" spans="1:15" ht="15" x14ac:dyDescent="0.25">
      <c r="A44" s="1"/>
      <c r="B44" s="58">
        <v>42</v>
      </c>
      <c r="C44" s="58">
        <v>179</v>
      </c>
      <c r="D44" s="1"/>
      <c r="E44" s="1"/>
      <c r="F44" s="1"/>
      <c r="G44" s="1"/>
      <c r="H44" s="1"/>
      <c r="I44" s="1"/>
      <c r="J44" s="1"/>
      <c r="K44" s="1"/>
      <c r="L44" s="1"/>
    </row>
    <row r="45" spans="1:15" ht="15" x14ac:dyDescent="0.25">
      <c r="A45" s="1"/>
      <c r="B45" s="58">
        <v>43</v>
      </c>
      <c r="C45" s="58">
        <v>171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5" ht="15" x14ac:dyDescent="0.25">
      <c r="A46" s="1"/>
      <c r="B46" s="58">
        <v>44</v>
      </c>
      <c r="C46" s="58">
        <v>165</v>
      </c>
      <c r="D46" s="1"/>
      <c r="E46" s="1"/>
      <c r="F46" s="1"/>
      <c r="G46" s="1"/>
      <c r="H46" s="1"/>
      <c r="I46" s="1"/>
      <c r="J46" s="1"/>
      <c r="K46" s="1"/>
      <c r="L46" s="1"/>
    </row>
    <row r="47" spans="1:15" ht="15" x14ac:dyDescent="0.25">
      <c r="A47" s="1"/>
      <c r="B47" s="58">
        <v>45</v>
      </c>
      <c r="C47" s="58">
        <v>181</v>
      </c>
      <c r="D47" s="1"/>
      <c r="E47" s="1"/>
      <c r="F47" s="1"/>
      <c r="G47" s="1"/>
      <c r="H47" s="1"/>
      <c r="I47" s="1"/>
      <c r="J47" s="1"/>
      <c r="K47" s="1"/>
      <c r="L47" s="1"/>
    </row>
    <row r="48" spans="1:15" ht="15" x14ac:dyDescent="0.25">
      <c r="A48" s="1"/>
      <c r="B48" s="58">
        <v>46</v>
      </c>
      <c r="C48" s="58">
        <v>170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15" x14ac:dyDescent="0.25">
      <c r="A49" s="1"/>
      <c r="B49" s="58">
        <v>47</v>
      </c>
      <c r="C49" s="58">
        <v>178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ht="15" x14ac:dyDescent="0.25">
      <c r="A50" s="1"/>
      <c r="B50" s="58">
        <v>48</v>
      </c>
      <c r="C50" s="58">
        <v>180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ht="15" x14ac:dyDescent="0.25">
      <c r="A51" s="1"/>
      <c r="B51" s="58">
        <v>49</v>
      </c>
      <c r="C51" s="58">
        <v>168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ht="15" x14ac:dyDescent="0.25">
      <c r="A52" s="1"/>
      <c r="B52" s="58">
        <v>50</v>
      </c>
      <c r="C52" s="58">
        <v>180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ht="15" x14ac:dyDescent="0.25">
      <c r="A53" s="1"/>
      <c r="B53" s="58">
        <v>51</v>
      </c>
      <c r="C53" s="58">
        <v>177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ht="15" x14ac:dyDescent="0.25">
      <c r="A54" s="1"/>
      <c r="B54" s="58">
        <v>52</v>
      </c>
      <c r="C54" s="58">
        <v>174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ht="15" x14ac:dyDescent="0.25">
      <c r="A55" s="1"/>
      <c r="B55" s="58">
        <v>53</v>
      </c>
      <c r="C55" s="58">
        <v>164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ht="15" x14ac:dyDescent="0.25">
      <c r="A56" s="1"/>
      <c r="B56" s="58">
        <v>54</v>
      </c>
      <c r="C56" s="58">
        <v>167</v>
      </c>
      <c r="D56" s="1"/>
      <c r="E56" s="1"/>
      <c r="F56" s="1"/>
      <c r="G56" s="1"/>
      <c r="H56" s="1"/>
      <c r="I56" s="1"/>
      <c r="J56" s="1"/>
      <c r="K56" s="1"/>
      <c r="L56" s="1"/>
    </row>
    <row r="57" spans="1:12" ht="15" x14ac:dyDescent="0.25">
      <c r="A57" s="1"/>
      <c r="B57" s="58">
        <v>55</v>
      </c>
      <c r="C57" s="58">
        <v>196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 ht="15" x14ac:dyDescent="0.25">
      <c r="A58" s="1"/>
      <c r="B58" s="58">
        <v>56</v>
      </c>
      <c r="C58" s="58">
        <v>175</v>
      </c>
      <c r="D58" s="1"/>
      <c r="E58" s="1"/>
      <c r="F58" s="1"/>
      <c r="G58" s="1"/>
      <c r="H58" s="1"/>
      <c r="I58" s="1"/>
      <c r="J58" s="1"/>
      <c r="K58" s="1"/>
      <c r="L58" s="1"/>
    </row>
    <row r="59" spans="1:12" ht="15" x14ac:dyDescent="0.25">
      <c r="A59" s="1"/>
      <c r="B59" s="58">
        <v>57</v>
      </c>
      <c r="C59" s="58">
        <v>175</v>
      </c>
      <c r="D59" s="1"/>
      <c r="E59" s="1"/>
      <c r="F59" s="1"/>
      <c r="G59" s="1"/>
      <c r="H59" s="1"/>
      <c r="I59" s="1"/>
      <c r="J59" s="1"/>
      <c r="K59" s="1"/>
      <c r="L59" s="1"/>
    </row>
    <row r="60" spans="1:12" ht="15" x14ac:dyDescent="0.25">
      <c r="A60" s="1"/>
      <c r="B60" s="58">
        <v>58</v>
      </c>
      <c r="C60" s="58">
        <v>183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ht="15" x14ac:dyDescent="0.25">
      <c r="A61" s="1"/>
      <c r="B61" s="58">
        <v>59</v>
      </c>
      <c r="C61" s="58">
        <v>158</v>
      </c>
      <c r="D61" s="1"/>
      <c r="E61" s="1"/>
      <c r="F61" s="1"/>
      <c r="G61" s="1"/>
      <c r="H61" s="1"/>
      <c r="I61" s="1"/>
      <c r="J61" s="1"/>
      <c r="K61" s="1"/>
      <c r="L61" s="1"/>
    </row>
    <row r="62" spans="1:12" ht="15" x14ac:dyDescent="0.25">
      <c r="A62" s="1"/>
      <c r="B62" s="58">
        <v>60</v>
      </c>
      <c r="C62" s="58">
        <v>176</v>
      </c>
      <c r="D62" s="1"/>
      <c r="E62" s="1"/>
      <c r="F62" s="1"/>
      <c r="G62" s="1"/>
      <c r="H62" s="1"/>
      <c r="I62" s="1"/>
      <c r="J62" s="1"/>
      <c r="K62" s="1"/>
      <c r="L62" s="1"/>
    </row>
    <row r="63" spans="1:12" ht="15" x14ac:dyDescent="0.25">
      <c r="A63" s="1"/>
      <c r="B63" s="58">
        <v>61</v>
      </c>
      <c r="C63" s="58">
        <v>173</v>
      </c>
      <c r="D63" s="1"/>
      <c r="E63" s="1"/>
      <c r="F63" s="1"/>
      <c r="G63" s="1"/>
      <c r="H63" s="1"/>
      <c r="I63" s="1"/>
      <c r="J63" s="1"/>
      <c r="K63" s="1"/>
      <c r="L63" s="1"/>
    </row>
    <row r="64" spans="1:12" ht="15" x14ac:dyDescent="0.25">
      <c r="A64" s="1"/>
      <c r="B64" s="58">
        <v>62</v>
      </c>
      <c r="C64" s="58">
        <v>167</v>
      </c>
      <c r="D64" s="1"/>
      <c r="E64" s="1"/>
      <c r="F64" s="1"/>
      <c r="G64" s="1"/>
      <c r="H64" s="1"/>
      <c r="I64" s="1"/>
      <c r="J64" s="1"/>
      <c r="K64" s="1"/>
      <c r="L64" s="1"/>
    </row>
    <row r="65" spans="1:12" ht="15" x14ac:dyDescent="0.25">
      <c r="A65" s="1"/>
      <c r="B65" s="58">
        <v>63</v>
      </c>
      <c r="C65" s="58">
        <v>183</v>
      </c>
      <c r="D65" s="1"/>
      <c r="E65" s="1"/>
      <c r="F65" s="1"/>
      <c r="G65" s="1"/>
      <c r="H65" s="1"/>
      <c r="I65" s="1"/>
      <c r="J65" s="1"/>
      <c r="K65" s="1"/>
      <c r="L65" s="1"/>
    </row>
    <row r="66" spans="1:12" ht="15" x14ac:dyDescent="0.25">
      <c r="A66" s="1"/>
      <c r="B66" s="58">
        <v>64</v>
      </c>
      <c r="C66" s="58">
        <v>175</v>
      </c>
      <c r="D66" s="1"/>
      <c r="E66" s="1"/>
      <c r="F66" s="1"/>
      <c r="G66" s="1"/>
      <c r="H66" s="1"/>
      <c r="I66" s="1"/>
      <c r="J66" s="1"/>
      <c r="K66" s="1"/>
      <c r="L66" s="1"/>
    </row>
    <row r="67" spans="1:12" ht="15" x14ac:dyDescent="0.25">
      <c r="A67" s="1"/>
      <c r="B67" s="58">
        <v>65</v>
      </c>
      <c r="C67" s="58">
        <v>168</v>
      </c>
      <c r="D67" s="1"/>
      <c r="E67" s="1"/>
      <c r="F67" s="1"/>
      <c r="G67" s="1"/>
      <c r="H67" s="1"/>
      <c r="I67" s="1"/>
      <c r="J67" s="1"/>
      <c r="K67" s="1"/>
      <c r="L67" s="1"/>
    </row>
    <row r="68" spans="1:12" ht="15" x14ac:dyDescent="0.25">
      <c r="A68" s="1"/>
      <c r="B68" s="58">
        <v>66</v>
      </c>
      <c r="C68" s="58">
        <v>167</v>
      </c>
      <c r="D68" s="1"/>
      <c r="E68" s="1"/>
      <c r="F68" s="1"/>
      <c r="G68" s="1"/>
      <c r="H68" s="1"/>
      <c r="I68" s="1"/>
      <c r="J68" s="1"/>
      <c r="K68" s="1"/>
      <c r="L68" s="1"/>
    </row>
    <row r="69" spans="1:12" ht="15" x14ac:dyDescent="0.25">
      <c r="A69" s="1"/>
      <c r="B69" s="58">
        <v>67</v>
      </c>
      <c r="C69" s="58">
        <v>177</v>
      </c>
      <c r="D69" s="1"/>
      <c r="E69" s="1"/>
      <c r="F69" s="1"/>
      <c r="G69" s="1"/>
      <c r="H69" s="1"/>
      <c r="I69" s="1"/>
      <c r="J69" s="1"/>
      <c r="K69" s="1"/>
      <c r="L69" s="1"/>
    </row>
    <row r="70" spans="1:12" ht="15" x14ac:dyDescent="0.25">
      <c r="A70" s="1"/>
      <c r="B70" s="58">
        <v>68</v>
      </c>
      <c r="C70" s="58">
        <v>166</v>
      </c>
      <c r="D70" s="1"/>
      <c r="E70" s="1"/>
      <c r="F70" s="1"/>
      <c r="G70" s="1"/>
      <c r="H70" s="1"/>
      <c r="I70" s="1"/>
      <c r="J70" s="1"/>
      <c r="K70" s="1"/>
      <c r="L70" s="1"/>
    </row>
    <row r="71" spans="1:12" ht="15" x14ac:dyDescent="0.25">
      <c r="A71" s="1"/>
      <c r="B71" s="58">
        <v>69</v>
      </c>
      <c r="C71" s="58">
        <v>179</v>
      </c>
      <c r="D71" s="1"/>
      <c r="E71" s="1"/>
      <c r="F71" s="1"/>
      <c r="G71" s="1"/>
      <c r="H71" s="1"/>
      <c r="I71" s="1"/>
      <c r="J71" s="1"/>
      <c r="K71" s="1"/>
      <c r="L71" s="1"/>
    </row>
    <row r="72" spans="1:12" ht="15" x14ac:dyDescent="0.25">
      <c r="A72" s="1"/>
      <c r="B72" s="58">
        <v>70</v>
      </c>
      <c r="C72" s="58">
        <v>177</v>
      </c>
      <c r="D72" s="1"/>
      <c r="E72" s="1"/>
      <c r="F72" s="1"/>
      <c r="G72" s="1"/>
      <c r="H72" s="1"/>
      <c r="I72" s="1"/>
      <c r="J72" s="1"/>
      <c r="K72" s="1"/>
      <c r="L72" s="1"/>
    </row>
    <row r="73" spans="1:12" ht="15" x14ac:dyDescent="0.25">
      <c r="A73" s="1"/>
      <c r="B73" s="58">
        <v>71</v>
      </c>
      <c r="C73" s="58">
        <v>183</v>
      </c>
      <c r="D73" s="1"/>
      <c r="E73" s="1"/>
      <c r="F73" s="1"/>
      <c r="G73" s="1"/>
      <c r="H73" s="1"/>
      <c r="I73" s="1"/>
      <c r="J73" s="1"/>
      <c r="K73" s="1"/>
      <c r="L73" s="1"/>
    </row>
    <row r="74" spans="1:12" ht="15" x14ac:dyDescent="0.25">
      <c r="A74" s="1"/>
      <c r="B74" s="58">
        <v>72</v>
      </c>
      <c r="C74" s="58">
        <v>163</v>
      </c>
      <c r="D74" s="1"/>
      <c r="E74" s="1"/>
      <c r="F74" s="1"/>
      <c r="G74" s="1"/>
      <c r="H74" s="1"/>
      <c r="I74" s="1"/>
      <c r="J74" s="1"/>
      <c r="K74" s="1"/>
      <c r="L74" s="1"/>
    </row>
    <row r="75" spans="1:12" ht="15" x14ac:dyDescent="0.25">
      <c r="A75" s="1"/>
      <c r="B75" s="58">
        <v>73</v>
      </c>
      <c r="C75" s="58">
        <v>168</v>
      </c>
      <c r="D75" s="1"/>
      <c r="E75" s="1"/>
      <c r="F75" s="1"/>
      <c r="G75" s="1"/>
      <c r="H75" s="1"/>
      <c r="I75" s="1"/>
      <c r="J75" s="1"/>
      <c r="K75" s="1"/>
      <c r="L75" s="1"/>
    </row>
    <row r="76" spans="1:12" ht="15" x14ac:dyDescent="0.25">
      <c r="A76" s="1"/>
      <c r="B76" s="58">
        <v>74</v>
      </c>
      <c r="C76" s="58">
        <v>178</v>
      </c>
      <c r="D76" s="1"/>
      <c r="E76" s="1"/>
      <c r="F76" s="1"/>
      <c r="G76" s="1"/>
      <c r="H76" s="1"/>
      <c r="I76" s="1"/>
      <c r="J76" s="1"/>
      <c r="K76" s="1"/>
      <c r="L76" s="1"/>
    </row>
    <row r="77" spans="1:12" ht="15" x14ac:dyDescent="0.25">
      <c r="A77" s="1"/>
      <c r="B77" s="58">
        <v>75</v>
      </c>
      <c r="C77" s="58">
        <v>167</v>
      </c>
      <c r="D77" s="1"/>
      <c r="E77" s="1"/>
      <c r="F77" s="1"/>
      <c r="G77" s="1"/>
      <c r="H77" s="1"/>
      <c r="I77" s="1"/>
      <c r="J77" s="1"/>
      <c r="K77" s="1"/>
      <c r="L77" s="1"/>
    </row>
    <row r="78" spans="1:12" ht="15" x14ac:dyDescent="0.25">
      <c r="A78" s="1"/>
      <c r="B78" s="58">
        <v>76</v>
      </c>
      <c r="C78" s="58">
        <v>174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 ht="15" x14ac:dyDescent="0.25">
      <c r="A79" s="1"/>
      <c r="B79" s="58">
        <v>77</v>
      </c>
      <c r="C79" s="58">
        <v>161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ht="15" x14ac:dyDescent="0.25">
      <c r="A80" s="1"/>
      <c r="B80" s="58">
        <v>78</v>
      </c>
      <c r="C80" s="58">
        <v>164</v>
      </c>
      <c r="D80" s="1"/>
      <c r="E80" s="1"/>
      <c r="F80" s="1"/>
      <c r="G80" s="1"/>
      <c r="H80" s="1"/>
      <c r="I80" s="1"/>
      <c r="J80" s="1"/>
      <c r="K80" s="1"/>
      <c r="L80" s="1"/>
    </row>
    <row r="81" spans="1:12" ht="15" x14ac:dyDescent="0.25">
      <c r="A81" s="1"/>
      <c r="B81" s="58">
        <v>79</v>
      </c>
      <c r="C81" s="58">
        <v>166</v>
      </c>
      <c r="D81" s="1"/>
      <c r="E81" s="1"/>
      <c r="F81" s="1"/>
      <c r="G81" s="1"/>
      <c r="H81" s="1"/>
      <c r="I81" s="1"/>
      <c r="J81" s="1"/>
      <c r="K81" s="1"/>
      <c r="L81" s="1"/>
    </row>
    <row r="82" spans="1:12" ht="15" x14ac:dyDescent="0.25">
      <c r="A82" s="1"/>
      <c r="B82" s="58">
        <v>80</v>
      </c>
      <c r="C82" s="58">
        <v>163</v>
      </c>
      <c r="D82" s="1"/>
      <c r="E82" s="1"/>
      <c r="F82" s="1"/>
      <c r="G82" s="1"/>
      <c r="H82" s="1"/>
      <c r="I82" s="1"/>
      <c r="J82" s="1"/>
      <c r="K82" s="1"/>
      <c r="L82" s="1"/>
    </row>
    <row r="83" spans="1:12" ht="15" x14ac:dyDescent="0.25">
      <c r="A83" s="1"/>
      <c r="B83" s="58">
        <v>81</v>
      </c>
      <c r="C83" s="58">
        <v>180</v>
      </c>
      <c r="D83" s="1"/>
      <c r="E83" s="1"/>
      <c r="F83" s="1"/>
      <c r="G83" s="1"/>
      <c r="H83" s="1"/>
      <c r="I83" s="1"/>
      <c r="J83" s="1"/>
      <c r="K83" s="1"/>
      <c r="L83" s="1"/>
    </row>
    <row r="84" spans="1:12" ht="15" x14ac:dyDescent="0.25">
      <c r="A84" s="1"/>
      <c r="B84" s="58">
        <v>82</v>
      </c>
      <c r="C84" s="58">
        <v>180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ht="15" x14ac:dyDescent="0.25">
      <c r="A85" s="1"/>
      <c r="B85" s="58">
        <v>83</v>
      </c>
      <c r="C85" s="58">
        <v>172</v>
      </c>
      <c r="D85" s="1"/>
      <c r="E85" s="1"/>
      <c r="F85" s="1"/>
      <c r="G85" s="1"/>
      <c r="H85" s="1"/>
      <c r="I85" s="1"/>
      <c r="J85" s="1"/>
      <c r="K85" s="1"/>
      <c r="L85" s="1"/>
    </row>
    <row r="86" spans="1:12" ht="15" x14ac:dyDescent="0.25">
      <c r="A86" s="1"/>
      <c r="B86" s="58">
        <v>84</v>
      </c>
      <c r="C86" s="58">
        <v>167</v>
      </c>
      <c r="D86" s="1"/>
      <c r="E86" s="1"/>
      <c r="F86" s="1"/>
      <c r="G86" s="1"/>
      <c r="H86" s="1"/>
      <c r="I86" s="1"/>
      <c r="J86" s="1"/>
      <c r="K86" s="1"/>
      <c r="L86" s="1"/>
    </row>
    <row r="87" spans="1:12" ht="15" x14ac:dyDescent="0.25">
      <c r="A87" s="1"/>
      <c r="B87" s="58">
        <v>85</v>
      </c>
      <c r="C87" s="58">
        <v>174</v>
      </c>
      <c r="D87" s="1"/>
      <c r="E87" s="1"/>
      <c r="F87" s="1"/>
      <c r="G87" s="1"/>
      <c r="H87" s="1"/>
      <c r="I87" s="1"/>
      <c r="J87" s="1"/>
      <c r="K87" s="1"/>
      <c r="L87" s="1"/>
    </row>
    <row r="88" spans="1:12" ht="15" x14ac:dyDescent="0.25">
      <c r="A88" s="1"/>
      <c r="B88" s="58">
        <v>86</v>
      </c>
      <c r="C88" s="58">
        <v>161</v>
      </c>
      <c r="D88" s="1"/>
      <c r="E88" s="1"/>
      <c r="F88" s="1"/>
      <c r="G88" s="1"/>
      <c r="H88" s="1"/>
      <c r="I88" s="1"/>
      <c r="J88" s="1"/>
      <c r="K88" s="1"/>
      <c r="L88" s="1"/>
    </row>
    <row r="89" spans="1:12" ht="15" x14ac:dyDescent="0.25">
      <c r="A89" s="1"/>
      <c r="B89" s="58">
        <v>87</v>
      </c>
      <c r="C89" s="58">
        <v>173</v>
      </c>
      <c r="D89" s="1"/>
      <c r="E89" s="1"/>
      <c r="F89" s="1"/>
      <c r="G89" s="1"/>
      <c r="H89" s="1"/>
      <c r="I89" s="1"/>
      <c r="J89" s="1"/>
      <c r="K89" s="1"/>
      <c r="L89" s="1"/>
    </row>
    <row r="90" spans="1:12" ht="15" x14ac:dyDescent="0.25">
      <c r="A90" s="1"/>
      <c r="B90" s="58">
        <v>88</v>
      </c>
      <c r="C90" s="58">
        <v>176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 ht="15" x14ac:dyDescent="0.25">
      <c r="A91" s="1"/>
      <c r="B91" s="58">
        <v>89</v>
      </c>
      <c r="C91" s="58">
        <v>165</v>
      </c>
      <c r="D91" s="1"/>
      <c r="E91" s="1"/>
      <c r="F91" s="1"/>
      <c r="G91" s="1"/>
      <c r="H91" s="1"/>
      <c r="I91" s="1"/>
      <c r="J91" s="1"/>
      <c r="K91" s="1"/>
      <c r="L91" s="1"/>
    </row>
    <row r="92" spans="1:12" ht="15" x14ac:dyDescent="0.25">
      <c r="A92" s="1"/>
      <c r="B92" s="58">
        <v>90</v>
      </c>
      <c r="C92" s="58">
        <v>163</v>
      </c>
      <c r="D92" s="1"/>
      <c r="E92" s="1"/>
      <c r="F92" s="1"/>
      <c r="G92" s="1"/>
      <c r="H92" s="1"/>
      <c r="I92" s="1"/>
      <c r="J92" s="1"/>
      <c r="K92" s="1"/>
      <c r="L92" s="1"/>
    </row>
    <row r="93" spans="1:12" ht="15" x14ac:dyDescent="0.25">
      <c r="A93" s="1"/>
      <c r="B93" s="58">
        <v>91</v>
      </c>
      <c r="C93" s="58">
        <v>176</v>
      </c>
      <c r="D93" s="1"/>
      <c r="E93" s="1"/>
      <c r="F93" s="1"/>
      <c r="G93" s="1"/>
      <c r="H93" s="1"/>
      <c r="I93" s="1"/>
      <c r="J93" s="1"/>
      <c r="K93" s="1"/>
      <c r="L93" s="1"/>
    </row>
    <row r="94" spans="1:12" ht="15" x14ac:dyDescent="0.25">
      <c r="A94" s="1"/>
      <c r="B94" s="58">
        <v>92</v>
      </c>
      <c r="C94" s="58">
        <v>160</v>
      </c>
      <c r="D94" s="1"/>
      <c r="E94" s="1"/>
      <c r="F94" s="1"/>
      <c r="G94" s="1"/>
      <c r="H94" s="1"/>
      <c r="I94" s="1"/>
      <c r="J94" s="1"/>
      <c r="K94" s="1"/>
      <c r="L94" s="1"/>
    </row>
    <row r="95" spans="1:12" ht="15" x14ac:dyDescent="0.25">
      <c r="A95" s="1"/>
      <c r="B95" s="58">
        <v>93</v>
      </c>
      <c r="C95" s="58">
        <v>178</v>
      </c>
      <c r="D95" s="1"/>
      <c r="E95" s="1"/>
      <c r="F95" s="1"/>
      <c r="G95" s="1"/>
      <c r="H95" s="1"/>
      <c r="I95" s="1"/>
      <c r="J95" s="1"/>
      <c r="K95" s="1"/>
      <c r="L95" s="1"/>
    </row>
    <row r="96" spans="1:12" ht="15" x14ac:dyDescent="0.25">
      <c r="A96" s="1"/>
      <c r="B96" s="58">
        <v>94</v>
      </c>
      <c r="C96" s="58">
        <v>177</v>
      </c>
      <c r="D96" s="1"/>
      <c r="E96" s="1"/>
      <c r="F96" s="1"/>
      <c r="G96" s="1"/>
      <c r="H96" s="1"/>
      <c r="I96" s="1"/>
      <c r="J96" s="1"/>
      <c r="K96" s="1"/>
      <c r="L96" s="1"/>
    </row>
    <row r="97" spans="1:12" ht="15" x14ac:dyDescent="0.25">
      <c r="A97" s="1"/>
      <c r="B97" s="58">
        <v>95</v>
      </c>
      <c r="C97" s="58">
        <v>170</v>
      </c>
      <c r="D97" s="1"/>
      <c r="E97" s="1"/>
      <c r="F97" s="1"/>
      <c r="G97" s="1"/>
      <c r="H97" s="1"/>
      <c r="I97" s="1"/>
      <c r="J97" s="1"/>
      <c r="K97" s="1"/>
      <c r="L97" s="1"/>
    </row>
    <row r="98" spans="1:12" ht="15" x14ac:dyDescent="0.25">
      <c r="A98" s="1"/>
      <c r="B98" s="58">
        <v>96</v>
      </c>
      <c r="C98" s="58">
        <v>148</v>
      </c>
      <c r="D98" s="1"/>
      <c r="E98" s="1"/>
      <c r="F98" s="1"/>
      <c r="G98" s="1"/>
      <c r="H98" s="1"/>
      <c r="I98" s="1"/>
      <c r="J98" s="1"/>
      <c r="K98" s="1"/>
      <c r="L98" s="1"/>
    </row>
    <row r="99" spans="1:12" ht="15" x14ac:dyDescent="0.25">
      <c r="A99" s="1"/>
      <c r="B99" s="58">
        <v>97</v>
      </c>
      <c r="C99" s="58">
        <v>169</v>
      </c>
      <c r="D99" s="1"/>
      <c r="E99" s="1"/>
      <c r="F99" s="1"/>
      <c r="G99" s="1"/>
      <c r="H99" s="1"/>
      <c r="I99" s="1"/>
      <c r="J99" s="1"/>
      <c r="K99" s="1"/>
      <c r="L99" s="1"/>
    </row>
    <row r="100" spans="1:12" ht="15" x14ac:dyDescent="0.25">
      <c r="A100" s="1"/>
      <c r="B100" s="58">
        <v>98</v>
      </c>
      <c r="C100" s="58">
        <v>167</v>
      </c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 x14ac:dyDescent="0.25">
      <c r="A101" s="1"/>
      <c r="B101" s="58">
        <v>99</v>
      </c>
      <c r="C101" s="58">
        <v>189</v>
      </c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 x14ac:dyDescent="0.25">
      <c r="A102" s="1"/>
      <c r="B102" s="58">
        <v>100</v>
      </c>
      <c r="C102" s="58">
        <v>164</v>
      </c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 x14ac:dyDescent="0.25">
      <c r="A103" s="1"/>
      <c r="B103" s="58">
        <v>101</v>
      </c>
      <c r="C103" s="58">
        <v>172</v>
      </c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 x14ac:dyDescent="0.25">
      <c r="A104" s="1"/>
      <c r="B104" s="58">
        <v>102</v>
      </c>
      <c r="C104" s="58">
        <v>175</v>
      </c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 x14ac:dyDescent="0.25">
      <c r="A105" s="1"/>
      <c r="B105" s="58">
        <v>103</v>
      </c>
      <c r="C105" s="58">
        <v>183</v>
      </c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 x14ac:dyDescent="0.25">
      <c r="A106" s="1"/>
      <c r="B106" s="58">
        <v>104</v>
      </c>
      <c r="C106" s="58">
        <v>169</v>
      </c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 x14ac:dyDescent="0.25">
      <c r="A107" s="1"/>
      <c r="B107" s="58">
        <v>105</v>
      </c>
      <c r="C107" s="58">
        <v>172</v>
      </c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 x14ac:dyDescent="0.25">
      <c r="A108" s="1"/>
      <c r="B108" s="58">
        <v>106</v>
      </c>
      <c r="C108" s="58">
        <v>166</v>
      </c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 x14ac:dyDescent="0.25">
      <c r="A109" s="1"/>
      <c r="B109" s="58">
        <v>107</v>
      </c>
      <c r="C109" s="58">
        <v>174</v>
      </c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 x14ac:dyDescent="0.25">
      <c r="A110" s="1"/>
      <c r="B110" s="58">
        <v>108</v>
      </c>
      <c r="C110" s="58">
        <v>159</v>
      </c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 x14ac:dyDescent="0.25">
      <c r="A111" s="1"/>
      <c r="B111" s="58">
        <v>109</v>
      </c>
      <c r="C111" s="58">
        <v>157</v>
      </c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 x14ac:dyDescent="0.25">
      <c r="A112" s="1"/>
      <c r="B112" s="58">
        <v>110</v>
      </c>
      <c r="C112" s="58">
        <v>167</v>
      </c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 x14ac:dyDescent="0.25">
      <c r="A113" s="1"/>
      <c r="B113" s="58">
        <v>111</v>
      </c>
      <c r="C113" s="58">
        <v>182</v>
      </c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 x14ac:dyDescent="0.25">
      <c r="A114" s="1"/>
      <c r="B114" s="58">
        <v>112</v>
      </c>
      <c r="C114" s="58">
        <v>150</v>
      </c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 x14ac:dyDescent="0.25">
      <c r="A115" s="1"/>
      <c r="B115" s="58">
        <v>113</v>
      </c>
      <c r="C115" s="58">
        <v>178</v>
      </c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 x14ac:dyDescent="0.25">
      <c r="A116" s="1"/>
      <c r="B116" s="58">
        <v>114</v>
      </c>
      <c r="C116" s="58">
        <v>174</v>
      </c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 x14ac:dyDescent="0.25">
      <c r="A117" s="1"/>
      <c r="B117" s="58">
        <v>115</v>
      </c>
      <c r="C117" s="58">
        <v>165</v>
      </c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 x14ac:dyDescent="0.25">
      <c r="A118" s="1"/>
      <c r="B118" s="58">
        <v>116</v>
      </c>
      <c r="C118" s="58">
        <v>178</v>
      </c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 x14ac:dyDescent="0.25">
      <c r="A119" s="1"/>
      <c r="B119" s="58">
        <v>117</v>
      </c>
      <c r="C119" s="58">
        <v>161</v>
      </c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 x14ac:dyDescent="0.25">
      <c r="A120" s="1"/>
      <c r="B120" s="58">
        <v>118</v>
      </c>
      <c r="C120" s="58">
        <v>180</v>
      </c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 x14ac:dyDescent="0.25">
      <c r="A121" s="1"/>
      <c r="B121" s="58">
        <v>119</v>
      </c>
      <c r="C121" s="58">
        <v>166</v>
      </c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 x14ac:dyDescent="0.25">
      <c r="A122" s="1"/>
      <c r="B122" s="58">
        <v>120</v>
      </c>
      <c r="C122" s="58">
        <v>175</v>
      </c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 x14ac:dyDescent="0.25">
      <c r="A123" s="1"/>
      <c r="B123" s="58">
        <v>121</v>
      </c>
      <c r="C123" s="58">
        <v>169</v>
      </c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 x14ac:dyDescent="0.25">
      <c r="A124" s="1"/>
      <c r="B124" s="58">
        <v>122</v>
      </c>
      <c r="C124" s="58">
        <v>167</v>
      </c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 x14ac:dyDescent="0.25">
      <c r="A125" s="1"/>
      <c r="B125" s="58">
        <v>123</v>
      </c>
      <c r="C125" s="58">
        <v>182</v>
      </c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 x14ac:dyDescent="0.25">
      <c r="A126" s="1"/>
      <c r="B126" s="58">
        <v>124</v>
      </c>
      <c r="C126" s="58">
        <v>166</v>
      </c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 x14ac:dyDescent="0.25">
      <c r="A127" s="1"/>
      <c r="B127" s="58">
        <v>125</v>
      </c>
      <c r="C127" s="58">
        <v>176</v>
      </c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 x14ac:dyDescent="0.25">
      <c r="A128" s="1"/>
      <c r="B128" s="58">
        <v>126</v>
      </c>
      <c r="C128" s="58">
        <v>165</v>
      </c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 x14ac:dyDescent="0.25">
      <c r="A129" s="1"/>
      <c r="B129" s="58">
        <v>127</v>
      </c>
      <c r="C129" s="58">
        <v>190</v>
      </c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 x14ac:dyDescent="0.25">
      <c r="A130" s="1"/>
      <c r="B130" s="58">
        <v>128</v>
      </c>
      <c r="C130" s="58">
        <v>164</v>
      </c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 x14ac:dyDescent="0.25">
      <c r="A131" s="1"/>
      <c r="B131" s="58">
        <v>129</v>
      </c>
      <c r="C131" s="58">
        <v>182</v>
      </c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 x14ac:dyDescent="0.25">
      <c r="A132" s="1"/>
      <c r="B132" s="58">
        <v>130</v>
      </c>
      <c r="C132" s="58">
        <v>189</v>
      </c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 x14ac:dyDescent="0.25">
      <c r="A133" s="1"/>
      <c r="B133" s="58">
        <v>131</v>
      </c>
      <c r="C133" s="58">
        <v>162</v>
      </c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 x14ac:dyDescent="0.25">
      <c r="A134" s="1"/>
      <c r="B134" s="58">
        <v>132</v>
      </c>
      <c r="C134" s="58">
        <v>188</v>
      </c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 x14ac:dyDescent="0.25">
      <c r="A135" s="1"/>
      <c r="B135" s="58">
        <v>133</v>
      </c>
      <c r="C135" s="58">
        <v>168</v>
      </c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 x14ac:dyDescent="0.25">
      <c r="A136" s="1"/>
      <c r="B136" s="58">
        <v>134</v>
      </c>
      <c r="C136" s="58">
        <v>178</v>
      </c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 x14ac:dyDescent="0.25">
      <c r="A137" s="1"/>
      <c r="B137" s="58">
        <v>135</v>
      </c>
      <c r="C137" s="58">
        <v>184</v>
      </c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 x14ac:dyDescent="0.25">
      <c r="A138" s="1"/>
      <c r="B138" s="58">
        <v>136</v>
      </c>
      <c r="C138" s="58">
        <v>169</v>
      </c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 x14ac:dyDescent="0.25">
      <c r="A139" s="1"/>
      <c r="B139" s="58">
        <v>137</v>
      </c>
      <c r="C139" s="58">
        <v>178</v>
      </c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 x14ac:dyDescent="0.25">
      <c r="A140" s="1"/>
      <c r="B140" s="58">
        <v>138</v>
      </c>
      <c r="C140" s="58">
        <v>165</v>
      </c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 x14ac:dyDescent="0.25">
      <c r="A141" s="1"/>
      <c r="B141" s="58">
        <v>139</v>
      </c>
      <c r="C141" s="58">
        <v>177</v>
      </c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 x14ac:dyDescent="0.25">
      <c r="A142" s="1"/>
      <c r="B142" s="58">
        <v>140</v>
      </c>
      <c r="C142" s="58">
        <v>156</v>
      </c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 x14ac:dyDescent="0.25">
      <c r="A143" s="1"/>
      <c r="B143" s="58">
        <v>141</v>
      </c>
      <c r="C143" s="58">
        <v>181</v>
      </c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 x14ac:dyDescent="0.25">
      <c r="A144" s="1"/>
      <c r="B144" s="58">
        <v>142</v>
      </c>
      <c r="C144" s="58">
        <v>170</v>
      </c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 x14ac:dyDescent="0.25">
      <c r="A145" s="1"/>
      <c r="B145" s="58">
        <v>143</v>
      </c>
      <c r="C145" s="58">
        <v>172</v>
      </c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 x14ac:dyDescent="0.25">
      <c r="A146" s="1"/>
      <c r="B146" s="58">
        <v>144</v>
      </c>
      <c r="C146" s="58">
        <v>161</v>
      </c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 x14ac:dyDescent="0.25">
      <c r="A147" s="1"/>
      <c r="B147" s="58">
        <v>145</v>
      </c>
      <c r="C147" s="58">
        <v>175</v>
      </c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 x14ac:dyDescent="0.25">
      <c r="A148" s="1"/>
      <c r="B148" s="58">
        <v>146</v>
      </c>
      <c r="C148" s="58">
        <v>183</v>
      </c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 x14ac:dyDescent="0.25">
      <c r="A149" s="1"/>
      <c r="B149" s="58">
        <v>147</v>
      </c>
      <c r="C149" s="58">
        <v>174</v>
      </c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 x14ac:dyDescent="0.25">
      <c r="A150" s="1"/>
      <c r="B150" s="58">
        <v>148</v>
      </c>
      <c r="C150" s="58">
        <v>170</v>
      </c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 x14ac:dyDescent="0.25">
      <c r="A151" s="1"/>
      <c r="B151" s="58">
        <v>149</v>
      </c>
      <c r="C151" s="58">
        <v>184</v>
      </c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 x14ac:dyDescent="0.25">
      <c r="A152" s="1"/>
      <c r="B152" s="58">
        <v>150</v>
      </c>
      <c r="C152" s="58">
        <v>184</v>
      </c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 x14ac:dyDescent="0.25">
      <c r="A153" s="1"/>
      <c r="B153" s="58">
        <v>151</v>
      </c>
      <c r="C153" s="58">
        <v>174</v>
      </c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 x14ac:dyDescent="0.25">
      <c r="A154" s="1"/>
      <c r="B154" s="58">
        <v>152</v>
      </c>
      <c r="C154" s="58">
        <v>164</v>
      </c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 x14ac:dyDescent="0.25">
      <c r="A155" s="1"/>
      <c r="B155" s="58">
        <v>153</v>
      </c>
      <c r="C155" s="58">
        <v>173</v>
      </c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 x14ac:dyDescent="0.25">
      <c r="A156" s="1"/>
      <c r="B156" s="58">
        <v>154</v>
      </c>
      <c r="C156" s="58">
        <v>159</v>
      </c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 x14ac:dyDescent="0.25">
      <c r="A157" s="1"/>
      <c r="B157" s="58">
        <v>155</v>
      </c>
      <c r="C157" s="58">
        <v>164</v>
      </c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 x14ac:dyDescent="0.25">
      <c r="A158" s="1"/>
      <c r="B158" s="58">
        <v>156</v>
      </c>
      <c r="C158" s="58">
        <v>166</v>
      </c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 x14ac:dyDescent="0.25">
      <c r="A159" s="1"/>
      <c r="B159" s="58">
        <v>157</v>
      </c>
      <c r="C159" s="58">
        <v>179</v>
      </c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 x14ac:dyDescent="0.25">
      <c r="A160" s="1"/>
      <c r="B160" s="58">
        <v>158</v>
      </c>
      <c r="C160" s="58">
        <v>169</v>
      </c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 x14ac:dyDescent="0.25">
      <c r="A161" s="1"/>
      <c r="B161" s="58">
        <v>159</v>
      </c>
      <c r="C161" s="58">
        <v>171</v>
      </c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 x14ac:dyDescent="0.25">
      <c r="A162" s="1"/>
      <c r="B162" s="58">
        <v>160</v>
      </c>
      <c r="C162" s="58">
        <v>170</v>
      </c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 x14ac:dyDescent="0.25">
      <c r="A163" s="1"/>
      <c r="B163" s="58">
        <v>161</v>
      </c>
      <c r="C163" s="58">
        <v>190</v>
      </c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 x14ac:dyDescent="0.25">
      <c r="A164" s="1"/>
      <c r="B164" s="58">
        <v>162</v>
      </c>
      <c r="C164" s="58">
        <v>170</v>
      </c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 x14ac:dyDescent="0.25">
      <c r="A165" s="1"/>
      <c r="B165" s="58">
        <v>163</v>
      </c>
      <c r="C165" s="58">
        <v>174</v>
      </c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 x14ac:dyDescent="0.25">
      <c r="A166" s="1"/>
      <c r="B166" s="58">
        <v>164</v>
      </c>
      <c r="C166" s="58">
        <v>171</v>
      </c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 x14ac:dyDescent="0.25">
      <c r="A167" s="1"/>
      <c r="B167" s="58">
        <v>165</v>
      </c>
      <c r="C167" s="58">
        <v>173</v>
      </c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 x14ac:dyDescent="0.25">
      <c r="A168" s="1"/>
      <c r="B168" s="58">
        <v>166</v>
      </c>
      <c r="C168" s="58">
        <v>184</v>
      </c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 x14ac:dyDescent="0.25">
      <c r="A169" s="1"/>
      <c r="B169" s="58">
        <v>167</v>
      </c>
      <c r="C169" s="58">
        <v>173</v>
      </c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 x14ac:dyDescent="0.25">
      <c r="A170" s="1"/>
      <c r="B170" s="58">
        <v>168</v>
      </c>
      <c r="C170" s="58">
        <v>176</v>
      </c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 x14ac:dyDescent="0.25">
      <c r="A171" s="1"/>
      <c r="B171" s="58">
        <v>169</v>
      </c>
      <c r="C171" s="58">
        <v>171</v>
      </c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 x14ac:dyDescent="0.25">
      <c r="A172" s="1"/>
      <c r="B172" s="58">
        <v>170</v>
      </c>
      <c r="C172" s="58">
        <v>183</v>
      </c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 x14ac:dyDescent="0.25">
      <c r="A173" s="1"/>
      <c r="B173" s="58">
        <v>171</v>
      </c>
      <c r="C173" s="58">
        <v>161</v>
      </c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 x14ac:dyDescent="0.25">
      <c r="A174" s="1"/>
      <c r="B174" s="58">
        <v>172</v>
      </c>
      <c r="C174" s="58">
        <v>172</v>
      </c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 x14ac:dyDescent="0.25">
      <c r="A175" s="1"/>
      <c r="B175" s="58">
        <v>173</v>
      </c>
      <c r="C175" s="58">
        <v>167</v>
      </c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 x14ac:dyDescent="0.25">
      <c r="A176" s="1"/>
      <c r="B176" s="58">
        <v>174</v>
      </c>
      <c r="C176" s="58">
        <v>175</v>
      </c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 x14ac:dyDescent="0.25">
      <c r="A177" s="1"/>
      <c r="B177" s="58">
        <v>175</v>
      </c>
      <c r="C177" s="58">
        <v>165</v>
      </c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 x14ac:dyDescent="0.25">
      <c r="A178" s="1"/>
      <c r="B178" s="58">
        <v>176</v>
      </c>
      <c r="C178" s="58">
        <v>173</v>
      </c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 x14ac:dyDescent="0.25">
      <c r="A179" s="1"/>
      <c r="B179" s="58">
        <v>177</v>
      </c>
      <c r="C179" s="58">
        <v>170</v>
      </c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 x14ac:dyDescent="0.25">
      <c r="A180" s="1"/>
      <c r="B180" s="58">
        <v>178</v>
      </c>
      <c r="C180" s="58">
        <v>172</v>
      </c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 x14ac:dyDescent="0.25">
      <c r="A181" s="1"/>
      <c r="B181" s="58">
        <v>179</v>
      </c>
      <c r="C181" s="58">
        <v>173</v>
      </c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 x14ac:dyDescent="0.25">
      <c r="A182" s="1"/>
      <c r="B182" s="58">
        <v>180</v>
      </c>
      <c r="C182" s="58">
        <v>168</v>
      </c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 x14ac:dyDescent="0.25">
      <c r="A183" s="1"/>
      <c r="B183" s="58">
        <v>181</v>
      </c>
      <c r="C183" s="58">
        <v>169</v>
      </c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 x14ac:dyDescent="0.25">
      <c r="A184" s="1"/>
      <c r="B184" s="58">
        <v>182</v>
      </c>
      <c r="C184" s="58">
        <v>177</v>
      </c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 x14ac:dyDescent="0.25">
      <c r="A185" s="1"/>
      <c r="B185" s="58">
        <v>183</v>
      </c>
      <c r="C185" s="58">
        <v>165</v>
      </c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 x14ac:dyDescent="0.25">
      <c r="A186" s="1"/>
      <c r="B186" s="58">
        <v>184</v>
      </c>
      <c r="C186" s="58">
        <v>170</v>
      </c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 x14ac:dyDescent="0.25">
      <c r="A187" s="1"/>
      <c r="B187" s="58">
        <v>185</v>
      </c>
      <c r="C187" s="58">
        <v>159</v>
      </c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 x14ac:dyDescent="0.25">
      <c r="A188" s="1"/>
      <c r="B188" s="58">
        <v>186</v>
      </c>
      <c r="C188" s="58">
        <v>150</v>
      </c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 x14ac:dyDescent="0.25">
      <c r="A189" s="1"/>
      <c r="B189" s="58">
        <v>187</v>
      </c>
      <c r="C189" s="58">
        <v>166</v>
      </c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 x14ac:dyDescent="0.25">
      <c r="A190" s="1"/>
      <c r="B190" s="58">
        <v>188</v>
      </c>
      <c r="C190" s="58">
        <v>179</v>
      </c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 x14ac:dyDescent="0.25">
      <c r="A191" s="1"/>
      <c r="B191" s="58">
        <v>189</v>
      </c>
      <c r="C191" s="58">
        <v>181</v>
      </c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 x14ac:dyDescent="0.25">
      <c r="A192" s="1"/>
      <c r="B192" s="58">
        <v>190</v>
      </c>
      <c r="C192" s="58">
        <v>169</v>
      </c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 x14ac:dyDescent="0.25">
      <c r="A193" s="1"/>
      <c r="B193" s="58">
        <v>191</v>
      </c>
      <c r="C193" s="58">
        <v>182</v>
      </c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 x14ac:dyDescent="0.25">
      <c r="A194" s="1"/>
      <c r="B194" s="58">
        <v>192</v>
      </c>
      <c r="C194" s="58">
        <v>176</v>
      </c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 x14ac:dyDescent="0.25">
      <c r="A195" s="1"/>
      <c r="B195" s="58">
        <v>193</v>
      </c>
      <c r="C195" s="58">
        <v>162</v>
      </c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 x14ac:dyDescent="0.25">
      <c r="A196" s="1"/>
      <c r="B196" s="58">
        <v>194</v>
      </c>
      <c r="C196" s="58">
        <v>182</v>
      </c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 x14ac:dyDescent="0.25">
      <c r="A197" s="1"/>
      <c r="B197" s="58">
        <v>195</v>
      </c>
      <c r="C197" s="58">
        <v>185</v>
      </c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 x14ac:dyDescent="0.25">
      <c r="A198" s="1"/>
      <c r="B198" s="58">
        <v>196</v>
      </c>
      <c r="C198" s="58">
        <v>168</v>
      </c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 x14ac:dyDescent="0.25">
      <c r="A199" s="1"/>
      <c r="B199" s="58">
        <v>197</v>
      </c>
      <c r="C199" s="58">
        <v>171</v>
      </c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 x14ac:dyDescent="0.25">
      <c r="A200" s="1"/>
      <c r="B200" s="58">
        <v>198</v>
      </c>
      <c r="C200" s="58">
        <v>176</v>
      </c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 x14ac:dyDescent="0.25">
      <c r="A201" s="1"/>
      <c r="B201" s="58">
        <v>199</v>
      </c>
      <c r="C201" s="58">
        <v>173</v>
      </c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 x14ac:dyDescent="0.25">
      <c r="A202" s="1"/>
      <c r="B202" s="58">
        <v>200</v>
      </c>
      <c r="C202" s="58">
        <v>166</v>
      </c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</sheetData>
  <mergeCells count="1">
    <mergeCell ref="E4:I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10"/>
  <sheetViews>
    <sheetView workbookViewId="0"/>
  </sheetViews>
  <sheetFormatPr defaultColWidth="0" defaultRowHeight="14.1" customHeight="1" zeroHeight="1" x14ac:dyDescent="0.25"/>
  <cols>
    <col min="1" max="1" width="2.375" style="3" customWidth="1"/>
    <col min="2" max="4" width="10.875" style="3" customWidth="1"/>
    <col min="5" max="5" width="50.875" style="3" customWidth="1"/>
    <col min="6" max="12" width="10.875" style="3" customWidth="1"/>
    <col min="13" max="13" width="10.875" style="3" hidden="1" customWidth="1"/>
    <col min="14" max="15" width="0" style="3" hidden="1" customWidth="1"/>
    <col min="16" max="16384" width="10.875" style="3" hidden="1"/>
  </cols>
  <sheetData>
    <row r="1" spans="1:15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30" x14ac:dyDescent="0.25">
      <c r="A2" s="1"/>
      <c r="B2" s="6" t="str">
        <f>IF(T!$D$2=T!$M$2,M5,IF(T!$D$2=T!$N$2,N5,O5))</f>
        <v>Reference number</v>
      </c>
      <c r="C2" s="6" t="str">
        <f>IF(T!$D$2=T!$M$2,M6,IF(T!$D$2=T!$N$2,N6,O6))</f>
        <v>Stature /cm</v>
      </c>
      <c r="D2" s="1"/>
      <c r="E2" s="57" t="str">
        <f>IF(T!$D$2=T!$M$2,M2,IF(T!$D$2=T!$N$2,N2,O2))</f>
        <v>We measured the stature (in cm) of a group of people.</v>
      </c>
      <c r="F2" s="1"/>
      <c r="G2" s="1"/>
      <c r="H2" s="1"/>
      <c r="I2" s="1"/>
      <c r="J2" s="1"/>
      <c r="K2" s="1"/>
      <c r="L2" s="1"/>
      <c r="M2" s="3" t="s">
        <v>227</v>
      </c>
      <c r="N2" s="3" t="s">
        <v>228</v>
      </c>
      <c r="O2" s="3" t="s">
        <v>229</v>
      </c>
    </row>
    <row r="3" spans="1:15" ht="15" x14ac:dyDescent="0.25">
      <c r="A3" s="1"/>
      <c r="B3" s="58">
        <v>1</v>
      </c>
      <c r="C3" s="58">
        <v>172</v>
      </c>
      <c r="D3" s="1"/>
      <c r="E3" s="59" t="str">
        <f>IF(T!$D$2=T!$M$2,M3,IF(T!$D$2=T!$N$2,N3,O3))</f>
        <v>Calculate the statistical parameters belonging to the data.</v>
      </c>
      <c r="F3" s="1"/>
      <c r="G3" s="1"/>
      <c r="H3" s="1"/>
      <c r="I3" s="1"/>
      <c r="J3" s="1"/>
      <c r="K3" s="1"/>
      <c r="L3" s="1"/>
      <c r="M3" s="3" t="s">
        <v>230</v>
      </c>
      <c r="N3" s="3" t="s">
        <v>231</v>
      </c>
      <c r="O3" s="3" t="s">
        <v>232</v>
      </c>
    </row>
    <row r="4" spans="1:15" ht="23.25" x14ac:dyDescent="0.35">
      <c r="A4" s="1"/>
      <c r="B4" s="58">
        <v>2</v>
      </c>
      <c r="C4" s="58">
        <v>179</v>
      </c>
      <c r="D4" s="1"/>
      <c r="E4" s="86" t="str">
        <f>IF(T!$D$2=T!$M$2,M4,IF(T!$D$2=T!$N$2,N4,O4))</f>
        <v>Give the asked values in the green cells.</v>
      </c>
      <c r="F4" s="87"/>
      <c r="G4" s="87"/>
      <c r="H4" s="87"/>
      <c r="I4" s="88"/>
      <c r="J4" s="1"/>
      <c r="K4" s="1"/>
      <c r="L4" s="1"/>
      <c r="M4" s="60" t="s">
        <v>9</v>
      </c>
      <c r="N4" s="61" t="s">
        <v>10</v>
      </c>
      <c r="O4" s="62" t="s">
        <v>11</v>
      </c>
    </row>
    <row r="5" spans="1:15" ht="15" x14ac:dyDescent="0.25">
      <c r="A5" s="1"/>
      <c r="B5" s="58">
        <v>3</v>
      </c>
      <c r="C5" s="58">
        <v>180</v>
      </c>
      <c r="D5" s="1"/>
      <c r="E5" s="1"/>
      <c r="F5" s="1"/>
      <c r="G5" s="1"/>
      <c r="H5" s="1"/>
      <c r="I5" s="1"/>
      <c r="J5" s="1"/>
      <c r="K5" s="1"/>
      <c r="L5" s="1"/>
      <c r="M5" s="3" t="s">
        <v>233</v>
      </c>
      <c r="N5" s="3" t="s">
        <v>234</v>
      </c>
      <c r="O5" s="3" t="s">
        <v>235</v>
      </c>
    </row>
    <row r="6" spans="1:15" ht="15" x14ac:dyDescent="0.25">
      <c r="A6" s="1"/>
      <c r="B6" s="58">
        <v>4</v>
      </c>
      <c r="C6" s="58">
        <v>177</v>
      </c>
      <c r="D6" s="1"/>
      <c r="E6" s="1"/>
      <c r="F6" s="1"/>
      <c r="G6" s="1" t="str">
        <f>IF(T!$D$2=T!$M$2,M7,IF(T!$D$2=T!$N$2,N7,O7))</f>
        <v>other ways for calculation:</v>
      </c>
      <c r="H6" s="1"/>
      <c r="I6" s="1"/>
      <c r="J6" s="1"/>
      <c r="K6" s="1"/>
      <c r="L6" s="1"/>
      <c r="M6" s="3" t="s">
        <v>236</v>
      </c>
      <c r="N6" s="3" t="s">
        <v>237</v>
      </c>
      <c r="O6" s="3" t="s">
        <v>238</v>
      </c>
    </row>
    <row r="7" spans="1:15" ht="15" x14ac:dyDescent="0.25">
      <c r="A7" s="1"/>
      <c r="B7" s="58">
        <v>5</v>
      </c>
      <c r="C7" s="58">
        <v>173</v>
      </c>
      <c r="D7" s="1"/>
      <c r="E7" s="6" t="str">
        <f>IF(T!$D$2=T!$M$2,M8,IF(T!$D$2=T!$N$2,N8,O8))</f>
        <v>size of data set</v>
      </c>
      <c r="F7" s="18">
        <f>COUNT(C3:C202)</f>
        <v>200</v>
      </c>
      <c r="G7" s="1"/>
      <c r="H7" s="1"/>
      <c r="I7" s="1"/>
      <c r="J7" s="1"/>
      <c r="K7" s="1"/>
      <c r="L7" s="1"/>
      <c r="M7" s="3" t="s">
        <v>239</v>
      </c>
      <c r="N7" s="3" t="s">
        <v>240</v>
      </c>
      <c r="O7" s="3" t="s">
        <v>241</v>
      </c>
    </row>
    <row r="8" spans="1:15" ht="15" x14ac:dyDescent="0.25">
      <c r="A8" s="1"/>
      <c r="B8" s="58">
        <v>6</v>
      </c>
      <c r="C8" s="58">
        <v>171</v>
      </c>
      <c r="D8" s="1"/>
      <c r="E8" s="6" t="str">
        <f>IF(T!$D$2=T!$M$2,M9,IF(T!$D$2=T!$N$2,N9,O9))</f>
        <v>mode</v>
      </c>
      <c r="F8" s="18">
        <f>_xlfn.MODE.SNGL(C3:C202)</f>
        <v>173</v>
      </c>
      <c r="G8" s="1">
        <f>MODE(C3:C202)</f>
        <v>173</v>
      </c>
      <c r="H8" s="1"/>
      <c r="I8" s="1"/>
      <c r="J8" s="1"/>
      <c r="K8" s="1"/>
      <c r="L8" s="1"/>
      <c r="M8" s="3" t="s">
        <v>15</v>
      </c>
      <c r="N8" s="3" t="s">
        <v>242</v>
      </c>
      <c r="O8" s="3" t="s">
        <v>243</v>
      </c>
    </row>
    <row r="9" spans="1:15" ht="15" x14ac:dyDescent="0.25">
      <c r="A9" s="1"/>
      <c r="B9" s="58">
        <v>7</v>
      </c>
      <c r="C9" s="58">
        <v>169</v>
      </c>
      <c r="D9" s="1"/>
      <c r="E9" s="6" t="str">
        <f>IF(T!$D$2=T!$M$2,M10,IF(T!$D$2=T!$N$2,N10,O10))</f>
        <v>How many times does the mode occur among the data?</v>
      </c>
      <c r="F9" s="18">
        <f>COUNTIFS(C3:C202,F8)</f>
        <v>12</v>
      </c>
      <c r="G9" s="1">
        <f>COUNTIF(C3:C202,F8)</f>
        <v>12</v>
      </c>
      <c r="H9" s="1"/>
      <c r="I9" s="1"/>
      <c r="J9" s="1"/>
      <c r="K9" s="1"/>
      <c r="L9" s="1"/>
      <c r="M9" s="3" t="s">
        <v>244</v>
      </c>
      <c r="N9" s="3" t="s">
        <v>245</v>
      </c>
      <c r="O9" s="3" t="s">
        <v>246</v>
      </c>
    </row>
    <row r="10" spans="1:15" ht="15" x14ac:dyDescent="0.25">
      <c r="A10" s="1"/>
      <c r="B10" s="58">
        <v>8</v>
      </c>
      <c r="C10" s="58">
        <v>171</v>
      </c>
      <c r="D10" s="1"/>
      <c r="E10" s="6" t="str">
        <f>IF(T!$D$2=T!$M$2,M11,IF(T!$D$2=T!$N$2,N11,O11))</f>
        <v>median</v>
      </c>
      <c r="F10" s="18">
        <f>MEDIAN(C3:C202)</f>
        <v>172</v>
      </c>
      <c r="G10" s="1"/>
      <c r="H10" s="1"/>
      <c r="I10" s="1"/>
      <c r="J10" s="1"/>
      <c r="K10" s="1"/>
      <c r="L10" s="1"/>
      <c r="M10" s="3" t="s">
        <v>247</v>
      </c>
      <c r="N10" s="3" t="s">
        <v>248</v>
      </c>
      <c r="O10" s="3" t="s">
        <v>249</v>
      </c>
    </row>
    <row r="11" spans="1:15" ht="15" x14ac:dyDescent="0.25">
      <c r="A11" s="1"/>
      <c r="B11" s="58">
        <v>9</v>
      </c>
      <c r="C11" s="58">
        <v>176</v>
      </c>
      <c r="D11" s="1"/>
      <c r="E11" s="6" t="str">
        <f>IF(T!$D$2=T!$M$2,M12,IF(T!$D$2=T!$N$2,N12,O12))</f>
        <v>mean</v>
      </c>
      <c r="F11" s="18">
        <f>AVERAGE(C3:C202)</f>
        <v>171.79</v>
      </c>
      <c r="G11" s="1"/>
      <c r="H11" s="1"/>
      <c r="I11" s="1"/>
      <c r="J11" s="1"/>
      <c r="K11" s="1"/>
      <c r="L11" s="1"/>
      <c r="M11" s="3" t="s">
        <v>250</v>
      </c>
      <c r="N11" s="3" t="s">
        <v>251</v>
      </c>
      <c r="O11" s="3" t="s">
        <v>252</v>
      </c>
    </row>
    <row r="12" spans="1:15" ht="15" x14ac:dyDescent="0.25">
      <c r="A12" s="1"/>
      <c r="B12" s="58">
        <v>10</v>
      </c>
      <c r="C12" s="58">
        <v>174</v>
      </c>
      <c r="D12" s="1"/>
      <c r="E12" s="6" t="str">
        <f>IF(T!$D$2=T!$M$2,M13,IF(T!$D$2=T!$N$2,N13,O13))</f>
        <v>minimum</v>
      </c>
      <c r="F12" s="18">
        <f>MIN(C3:C202)</f>
        <v>148</v>
      </c>
      <c r="G12" s="1"/>
      <c r="H12" s="1"/>
      <c r="I12" s="1"/>
      <c r="J12" s="1"/>
      <c r="K12" s="1"/>
      <c r="L12" s="1"/>
      <c r="M12" s="3" t="s">
        <v>253</v>
      </c>
      <c r="N12" s="3" t="s">
        <v>254</v>
      </c>
      <c r="O12" s="3" t="s">
        <v>183</v>
      </c>
    </row>
    <row r="13" spans="1:15" ht="15" x14ac:dyDescent="0.25">
      <c r="A13" s="1"/>
      <c r="B13" s="58">
        <v>11</v>
      </c>
      <c r="C13" s="58">
        <v>173</v>
      </c>
      <c r="D13" s="1"/>
      <c r="E13" s="6" t="str">
        <f>IF(T!$D$2=T!$M$2,M14,IF(T!$D$2=T!$N$2,N14,O14))</f>
        <v>maximum</v>
      </c>
      <c r="F13" s="18">
        <f>MAX(C3:C202)</f>
        <v>196</v>
      </c>
      <c r="G13" s="1"/>
      <c r="H13" s="1"/>
      <c r="I13" s="1"/>
      <c r="J13" s="1"/>
      <c r="K13" s="1"/>
      <c r="L13" s="1"/>
      <c r="M13" s="3" t="s">
        <v>255</v>
      </c>
      <c r="N13" s="3" t="s">
        <v>256</v>
      </c>
      <c r="O13" s="3" t="s">
        <v>255</v>
      </c>
    </row>
    <row r="14" spans="1:15" ht="15" x14ac:dyDescent="0.25">
      <c r="A14" s="1"/>
      <c r="B14" s="58">
        <v>12</v>
      </c>
      <c r="C14" s="58">
        <v>176</v>
      </c>
      <c r="D14" s="1"/>
      <c r="E14" s="6" t="str">
        <f>IF(T!$D$2=T!$M$2,M15,IF(T!$D$2=T!$N$2,N15,O15))</f>
        <v>lower quartile</v>
      </c>
      <c r="F14" s="18">
        <f>_xlfn.QUARTILE.INC(C3:C202,1)</f>
        <v>166</v>
      </c>
      <c r="G14" s="1">
        <f>QUARTILE(C3:C202,1)</f>
        <v>166</v>
      </c>
      <c r="H14" s="1"/>
      <c r="I14" s="1"/>
      <c r="J14" s="1"/>
      <c r="K14" s="1"/>
      <c r="L14" s="1"/>
      <c r="M14" s="3" t="s">
        <v>257</v>
      </c>
      <c r="N14" s="3" t="s">
        <v>258</v>
      </c>
      <c r="O14" s="3" t="s">
        <v>257</v>
      </c>
    </row>
    <row r="15" spans="1:15" ht="15" x14ac:dyDescent="0.25">
      <c r="A15" s="1"/>
      <c r="B15" s="58">
        <v>13</v>
      </c>
      <c r="C15" s="58">
        <v>166</v>
      </c>
      <c r="D15" s="1"/>
      <c r="E15" s="6" t="str">
        <f>IF(T!$D$2=T!$M$2,M16,IF(T!$D$2=T!$N$2,N16,O16))</f>
        <v>upper quartile</v>
      </c>
      <c r="F15" s="18">
        <f>_xlfn.QUARTILE.INC(C3:C202,3)</f>
        <v>177</v>
      </c>
      <c r="G15" s="1">
        <f>QUARTILE(C3:C202,3)</f>
        <v>177</v>
      </c>
      <c r="H15" s="1"/>
      <c r="I15" s="1"/>
      <c r="J15" s="1"/>
      <c r="K15" s="1"/>
      <c r="L15" s="1"/>
      <c r="M15" s="3" t="s">
        <v>72</v>
      </c>
      <c r="N15" s="3" t="s">
        <v>259</v>
      </c>
      <c r="O15" s="3" t="s">
        <v>74</v>
      </c>
    </row>
    <row r="16" spans="1:15" ht="15" x14ac:dyDescent="0.25">
      <c r="A16" s="1"/>
      <c r="B16" s="58">
        <v>14</v>
      </c>
      <c r="C16" s="58">
        <v>157</v>
      </c>
      <c r="D16" s="1"/>
      <c r="E16" s="6" t="str">
        <f>IF(T!$D$2=T!$M$2,M17,IF(T!$D$2=T!$N$2,N17,O17))</f>
        <v>third quintile</v>
      </c>
      <c r="F16" s="18">
        <f>_xlfn.PERCENTILE.INC(C3:C202,3/5)</f>
        <v>174</v>
      </c>
      <c r="G16" s="1">
        <f>PERCENTILE(C3:C202,3/5)</f>
        <v>174</v>
      </c>
      <c r="H16" s="1"/>
      <c r="I16" s="1"/>
      <c r="J16" s="1"/>
      <c r="K16" s="1"/>
      <c r="L16" s="1"/>
      <c r="M16" s="3" t="s">
        <v>76</v>
      </c>
      <c r="N16" s="3" t="s">
        <v>260</v>
      </c>
      <c r="O16" s="3" t="s">
        <v>78</v>
      </c>
    </row>
    <row r="17" spans="1:15" ht="15" x14ac:dyDescent="0.25">
      <c r="A17" s="1"/>
      <c r="B17" s="58">
        <v>15</v>
      </c>
      <c r="C17" s="58">
        <v>180</v>
      </c>
      <c r="D17" s="1"/>
      <c r="E17" s="6" t="str">
        <f>IF(T!$D$2=T!$M$2,M18,IF(T!$D$2=T!$N$2,N18,O18))</f>
        <v>17th percentile</v>
      </c>
      <c r="F17" s="18">
        <f>_xlfn.PERCENTILE.INC(C3:C202,17/100)</f>
        <v>164</v>
      </c>
      <c r="G17" s="1">
        <f>PERCENTILE(C3:C202,17/100)</f>
        <v>164</v>
      </c>
      <c r="H17" s="1"/>
      <c r="I17" s="1"/>
      <c r="J17" s="1"/>
      <c r="K17" s="1"/>
      <c r="L17" s="1"/>
      <c r="M17" s="3" t="s">
        <v>261</v>
      </c>
      <c r="N17" s="3" t="s">
        <v>262</v>
      </c>
      <c r="O17" s="3" t="s">
        <v>263</v>
      </c>
    </row>
    <row r="18" spans="1:15" ht="15" x14ac:dyDescent="0.25">
      <c r="A18" s="1"/>
      <c r="B18" s="58">
        <v>16</v>
      </c>
      <c r="C18" s="58">
        <v>188</v>
      </c>
      <c r="D18" s="1"/>
      <c r="E18" s="6" t="str">
        <f>IF(T!$D$2=T!$M$2,M19,IF(T!$D$2=T!$N$2,N19,O19))</f>
        <v>0.87 kvantile</v>
      </c>
      <c r="F18" s="18">
        <f>_xlfn.PERCENTILE.INC(C3:C202,0.87)</f>
        <v>181</v>
      </c>
      <c r="G18" s="1">
        <f>PERCENTILE(C3:C202,0.87)</f>
        <v>181</v>
      </c>
      <c r="H18" s="1"/>
      <c r="I18" s="1"/>
      <c r="J18" s="1"/>
      <c r="K18" s="1"/>
      <c r="L18" s="1"/>
      <c r="M18" s="3" t="s">
        <v>264</v>
      </c>
      <c r="N18" s="3" t="s">
        <v>265</v>
      </c>
      <c r="O18" s="3" t="s">
        <v>266</v>
      </c>
    </row>
    <row r="19" spans="1:15" ht="15" x14ac:dyDescent="0.25">
      <c r="A19" s="1"/>
      <c r="B19" s="58">
        <v>17</v>
      </c>
      <c r="C19" s="58">
        <v>174</v>
      </c>
      <c r="D19" s="1"/>
      <c r="E19" s="6" t="str">
        <f>IF(T!$D$2=T!$M$2,M20,IF(T!$D$2=T!$N$2,N20,O20))</f>
        <v>What percent of the data is less than 170 cm?</v>
      </c>
      <c r="F19" s="63">
        <f>COUNTIFS(C3:C202,"&lt;"&amp;170)/F7</f>
        <v>0.39500000000000002</v>
      </c>
      <c r="G19" s="64">
        <f>COUNTIF(C3:C202,"&lt;"&amp;170)/F7</f>
        <v>0.39500000000000002</v>
      </c>
      <c r="H19" s="1"/>
      <c r="I19" s="1"/>
      <c r="J19" s="1"/>
      <c r="K19" s="1"/>
      <c r="L19" s="1"/>
      <c r="M19" s="3" t="s">
        <v>267</v>
      </c>
      <c r="N19" s="3" t="s">
        <v>268</v>
      </c>
      <c r="O19" s="3" t="s">
        <v>269</v>
      </c>
    </row>
    <row r="20" spans="1:15" ht="15" x14ac:dyDescent="0.25">
      <c r="A20" s="1"/>
      <c r="B20" s="58">
        <v>18</v>
      </c>
      <c r="C20" s="58">
        <v>155</v>
      </c>
      <c r="D20" s="1"/>
      <c r="E20" s="6" t="str">
        <f>IF(T!$D$2=T!$M$2,M21,IF(T!$D$2=T!$N$2,N21,O21))</f>
        <v>What percent of the data is greater than 180 cm?</v>
      </c>
      <c r="F20" s="63">
        <f>COUNTIFS(C3:C202,"&gt;"&amp;180)/F7</f>
        <v>0.14000000000000001</v>
      </c>
      <c r="G20" s="64">
        <f>COUNTIF(C3:C202,"&gt;"&amp;180)/F7</f>
        <v>0.14000000000000001</v>
      </c>
      <c r="H20" s="1"/>
      <c r="I20" s="1"/>
      <c r="J20" s="1"/>
      <c r="K20" s="1"/>
      <c r="L20" s="1"/>
      <c r="M20" s="3" t="s">
        <v>270</v>
      </c>
      <c r="N20" s="3" t="s">
        <v>271</v>
      </c>
      <c r="O20" s="3" t="s">
        <v>272</v>
      </c>
    </row>
    <row r="21" spans="1:15" ht="15" x14ac:dyDescent="0.25">
      <c r="A21" s="1"/>
      <c r="B21" s="58">
        <v>19</v>
      </c>
      <c r="C21" s="58">
        <v>179</v>
      </c>
      <c r="D21" s="1"/>
      <c r="E21" s="6" t="str">
        <f>IF(T!$D$2=T!$M$2,M22,IF(T!$D$2=T!$N$2,N22,O22))</f>
        <v>range</v>
      </c>
      <c r="F21" s="18">
        <f>F13-F12</f>
        <v>48</v>
      </c>
      <c r="G21" s="1"/>
      <c r="H21" s="1"/>
      <c r="I21" s="1"/>
      <c r="J21" s="1"/>
      <c r="K21" s="1"/>
      <c r="L21" s="1"/>
      <c r="M21" s="3" t="s">
        <v>273</v>
      </c>
      <c r="N21" s="3" t="s">
        <v>274</v>
      </c>
      <c r="O21" s="3" t="s">
        <v>275</v>
      </c>
    </row>
    <row r="22" spans="1:15" ht="15" x14ac:dyDescent="0.25">
      <c r="A22" s="1"/>
      <c r="B22" s="58">
        <v>20</v>
      </c>
      <c r="C22" s="58">
        <v>188</v>
      </c>
      <c r="D22" s="1"/>
      <c r="E22" s="6" t="str">
        <f>IF(T!$D$2=T!$M$2,M23,IF(T!$D$2=T!$N$2,N23,O23))</f>
        <v>interquartile range</v>
      </c>
      <c r="F22" s="18">
        <f>F15-F14</f>
        <v>11</v>
      </c>
      <c r="G22" s="1"/>
      <c r="H22" s="1"/>
      <c r="I22" s="1"/>
      <c r="J22" s="1"/>
      <c r="K22" s="1"/>
      <c r="L22" s="1"/>
      <c r="M22" s="3" t="s">
        <v>276</v>
      </c>
      <c r="N22" s="3" t="s">
        <v>277</v>
      </c>
      <c r="O22" s="3" t="s">
        <v>278</v>
      </c>
    </row>
    <row r="23" spans="1:15" ht="15" x14ac:dyDescent="0.25">
      <c r="A23" s="1"/>
      <c r="B23" s="58">
        <v>21</v>
      </c>
      <c r="C23" s="58">
        <v>173</v>
      </c>
      <c r="D23" s="1"/>
      <c r="E23" s="6" t="str">
        <f>IF(T!$D$2=T!$M$2,M24,IF(T!$D$2=T!$N$2,N24,O24))</f>
        <v>interoctile range</v>
      </c>
      <c r="F23" s="18">
        <f>_xlfn.PERCENTILE.INC(C3:C202,7/8)-_xlfn.PERCENTILE.INC(C3:C202,1/8)</f>
        <v>18.25</v>
      </c>
      <c r="G23" s="1"/>
      <c r="H23" s="1"/>
      <c r="I23" s="1"/>
      <c r="J23" s="1"/>
      <c r="K23" s="1"/>
      <c r="L23" s="1"/>
      <c r="M23" s="3" t="s">
        <v>279</v>
      </c>
      <c r="N23" s="3" t="s">
        <v>280</v>
      </c>
      <c r="O23" s="3" t="s">
        <v>281</v>
      </c>
    </row>
    <row r="24" spans="1:15" ht="15" x14ac:dyDescent="0.25">
      <c r="A24" s="1"/>
      <c r="B24" s="58">
        <v>22</v>
      </c>
      <c r="C24" s="58">
        <v>171</v>
      </c>
      <c r="D24" s="1"/>
      <c r="E24" s="6" t="str">
        <f>IF(T!$D$2=T!$M$2,M25,IF(T!$D$2=T!$N$2,N25,O25))</f>
        <v>interdecile range</v>
      </c>
      <c r="F24" s="18">
        <f>_xlfn.PERCENTILE.INC(C3:C202,9/10)-_xlfn.PERCENTILE.INC(C3:C202,1/10)</f>
        <v>21.099999999999994</v>
      </c>
      <c r="G24" s="1"/>
      <c r="H24" s="1"/>
      <c r="I24" s="1"/>
      <c r="J24" s="1"/>
      <c r="K24" s="1"/>
      <c r="L24" s="1"/>
      <c r="M24" s="3" t="s">
        <v>282</v>
      </c>
      <c r="N24" s="3" t="s">
        <v>283</v>
      </c>
      <c r="O24" s="3" t="s">
        <v>284</v>
      </c>
    </row>
    <row r="25" spans="1:15" ht="30" x14ac:dyDescent="0.25">
      <c r="A25" s="1"/>
      <c r="B25" s="58">
        <v>23</v>
      </c>
      <c r="C25" s="58">
        <v>164</v>
      </c>
      <c r="D25" s="1"/>
      <c r="E25" s="6" t="str">
        <f>IF(T!$D$2=T!$M$2,M26,IF(T!$D$2=T!$N$2,N26,O26))</f>
        <v>standard deviation without correction (standard deviation of the data)</v>
      </c>
      <c r="F25" s="18">
        <f>_xlfn.STDEV.P(C3:C202)</f>
        <v>8.2441433757546925</v>
      </c>
      <c r="G25" s="1">
        <f>STDEVP(C3:C202)</f>
        <v>8.2441433757546925</v>
      </c>
      <c r="H25" s="1"/>
      <c r="I25" s="1"/>
      <c r="J25" s="1"/>
      <c r="K25" s="1"/>
      <c r="L25" s="1"/>
      <c r="M25" s="3" t="s">
        <v>285</v>
      </c>
      <c r="N25" s="3" t="s">
        <v>286</v>
      </c>
      <c r="O25" s="3" t="s">
        <v>287</v>
      </c>
    </row>
    <row r="26" spans="1:15" ht="30" x14ac:dyDescent="0.25">
      <c r="A26" s="1"/>
      <c r="B26" s="58">
        <v>24</v>
      </c>
      <c r="C26" s="58">
        <v>172</v>
      </c>
      <c r="D26" s="1"/>
      <c r="E26" s="6" t="str">
        <f>IF(T!$D$2=T!$M$2,M27,IF(T!$D$2=T!$N$2,N27,O27))</f>
        <v>standard deviation with correction (estimation of the theoretical standard deviation)</v>
      </c>
      <c r="F26" s="18">
        <f>_xlfn.STDEV.S(C3:C202)</f>
        <v>8.2648313464903591</v>
      </c>
      <c r="G26" s="1">
        <f>STDEV(C3:C202)</f>
        <v>8.2648313464903591</v>
      </c>
      <c r="H26" s="1"/>
      <c r="I26" s="1"/>
      <c r="J26" s="1"/>
      <c r="K26" s="1"/>
      <c r="L26" s="1"/>
      <c r="M26" s="3" t="s">
        <v>288</v>
      </c>
      <c r="N26" s="3" t="s">
        <v>289</v>
      </c>
      <c r="O26" s="3" t="s">
        <v>290</v>
      </c>
    </row>
    <row r="27" spans="1:15" ht="15" x14ac:dyDescent="0.25">
      <c r="A27" s="1"/>
      <c r="B27" s="58">
        <v>25</v>
      </c>
      <c r="C27" s="58">
        <v>160</v>
      </c>
      <c r="D27" s="1"/>
      <c r="E27" s="6" t="str">
        <f>IF(T!$D$2=T!$M$2,M28,IF(T!$D$2=T!$N$2,N28,O28))</f>
        <v>variance without correction (variance of the data)</v>
      </c>
      <c r="F27" s="18">
        <f>_xlfn.VAR.P(C3:C202)</f>
        <v>67.965899999999976</v>
      </c>
      <c r="G27" s="1">
        <f>VARP(C3:C202)</f>
        <v>67.965899999999976</v>
      </c>
      <c r="H27" s="1"/>
      <c r="I27" s="1"/>
      <c r="J27" s="1"/>
      <c r="K27" s="1"/>
      <c r="L27" s="1"/>
      <c r="M27" s="3" t="s">
        <v>291</v>
      </c>
      <c r="N27" s="3" t="s">
        <v>292</v>
      </c>
      <c r="O27" s="3" t="s">
        <v>293</v>
      </c>
    </row>
    <row r="28" spans="1:15" ht="30" x14ac:dyDescent="0.25">
      <c r="A28" s="1"/>
      <c r="B28" s="58">
        <v>26</v>
      </c>
      <c r="C28" s="58">
        <v>175</v>
      </c>
      <c r="D28" s="1"/>
      <c r="E28" s="6" t="str">
        <f>IF(T!$D$2=T!$M$2,M29,IF(T!$D$2=T!$N$2,N29,O29))</f>
        <v>variance with correction (estimation of the theoretical variance)</v>
      </c>
      <c r="F28" s="18">
        <f>_xlfn.VAR.S(C3:C202)</f>
        <v>68.307437185929629</v>
      </c>
      <c r="G28" s="1">
        <f>VAR(C3:C202)</f>
        <v>68.307437185929629</v>
      </c>
      <c r="H28" s="1"/>
      <c r="I28" s="1"/>
      <c r="J28" s="1"/>
      <c r="K28" s="1"/>
      <c r="L28" s="1"/>
      <c r="M28" s="3" t="s">
        <v>294</v>
      </c>
      <c r="N28" s="3" t="s">
        <v>295</v>
      </c>
      <c r="O28" s="3" t="s">
        <v>296</v>
      </c>
    </row>
    <row r="29" spans="1:15" ht="15" x14ac:dyDescent="0.25">
      <c r="A29" s="1"/>
      <c r="B29" s="58">
        <v>27</v>
      </c>
      <c r="C29" s="58">
        <v>176</v>
      </c>
      <c r="D29" s="1"/>
      <c r="E29" s="6" t="str">
        <f>IF(T!$D$2=T!$M$2,M30,IF(T!$D$2=T!$N$2,N30,O30))</f>
        <v>skew</v>
      </c>
      <c r="F29" s="18">
        <f>SKEW(C3:C202)</f>
        <v>-4.7980164295122911E-2</v>
      </c>
      <c r="G29" s="1"/>
      <c r="H29" s="1"/>
      <c r="I29" s="1"/>
      <c r="J29" s="1"/>
      <c r="K29" s="1"/>
      <c r="L29" s="1"/>
      <c r="M29" s="3" t="s">
        <v>297</v>
      </c>
      <c r="N29" s="3" t="s">
        <v>298</v>
      </c>
      <c r="O29" s="3" t="s">
        <v>299</v>
      </c>
    </row>
    <row r="30" spans="1:15" ht="30" x14ac:dyDescent="0.25">
      <c r="A30" s="1"/>
      <c r="B30" s="58">
        <v>28</v>
      </c>
      <c r="C30" s="58">
        <v>163</v>
      </c>
      <c r="D30" s="1"/>
      <c r="E30" s="6" t="str">
        <f>IF(T!$D$2=T!$M$2,M31,IF(T!$D$2=T!$N$2,N31,O31))</f>
        <v>Is the data distribution skewed to the right or ti the left? (right=1, left=2)</v>
      </c>
      <c r="F30" s="18">
        <v>2</v>
      </c>
      <c r="G30" s="1"/>
      <c r="H30" s="1"/>
      <c r="I30" s="1"/>
      <c r="J30" s="1"/>
      <c r="K30" s="1"/>
      <c r="L30" s="1"/>
      <c r="M30" s="3" t="s">
        <v>300</v>
      </c>
      <c r="N30" s="3" t="s">
        <v>301</v>
      </c>
      <c r="O30" s="3" t="s">
        <v>302</v>
      </c>
    </row>
    <row r="31" spans="1:15" ht="15" x14ac:dyDescent="0.25">
      <c r="A31" s="1"/>
      <c r="B31" s="58">
        <v>29</v>
      </c>
      <c r="C31" s="58">
        <v>156</v>
      </c>
      <c r="D31" s="1"/>
      <c r="E31" s="6" t="str">
        <f>IF(T!$D$2=T!$M$2,M32,IF(T!$D$2=T!$N$2,N32,O32))</f>
        <v>kurtosis</v>
      </c>
      <c r="F31" s="18">
        <f>KURT(C3:C202)</f>
        <v>5.3999774240497622E-2</v>
      </c>
      <c r="G31" s="1"/>
      <c r="H31" s="1"/>
      <c r="I31" s="1"/>
      <c r="J31" s="1"/>
      <c r="K31" s="1"/>
      <c r="L31" s="1"/>
      <c r="M31" s="3" t="s">
        <v>303</v>
      </c>
      <c r="N31" s="3" t="s">
        <v>304</v>
      </c>
      <c r="O31" s="3" t="s">
        <v>305</v>
      </c>
    </row>
    <row r="32" spans="1:15" ht="15" x14ac:dyDescent="0.25">
      <c r="A32" s="1"/>
      <c r="B32" s="58">
        <v>30</v>
      </c>
      <c r="C32" s="58">
        <v>183</v>
      </c>
      <c r="D32" s="1"/>
      <c r="E32" s="6" t="str">
        <f>IF(T!$D$2=T!$M$2,M33,IF(T!$D$2=T!$N$2,N33,O33))</f>
        <v>Is the data set leptokurtic or platykurtic? (lepto=1, platy=2)</v>
      </c>
      <c r="F32" s="18">
        <v>1</v>
      </c>
      <c r="G32" s="1"/>
      <c r="H32" s="1"/>
      <c r="I32" s="1"/>
      <c r="J32" s="1"/>
      <c r="K32" s="1"/>
      <c r="L32" s="1"/>
      <c r="M32" s="3" t="s">
        <v>306</v>
      </c>
      <c r="N32" s="3" t="s">
        <v>307</v>
      </c>
      <c r="O32" s="3" t="s">
        <v>308</v>
      </c>
    </row>
    <row r="33" spans="1:15" ht="15" x14ac:dyDescent="0.25">
      <c r="A33" s="1"/>
      <c r="B33" s="58">
        <v>31</v>
      </c>
      <c r="C33" s="58">
        <v>160</v>
      </c>
      <c r="D33" s="1"/>
      <c r="E33" s="1"/>
      <c r="F33" s="1"/>
      <c r="G33" s="1"/>
      <c r="H33" s="1"/>
      <c r="I33" s="1"/>
      <c r="J33" s="1"/>
      <c r="K33" s="1"/>
      <c r="L33" s="1"/>
      <c r="M33" s="3" t="s">
        <v>309</v>
      </c>
      <c r="N33" s="3" t="s">
        <v>310</v>
      </c>
      <c r="O33" s="3" t="s">
        <v>311</v>
      </c>
    </row>
    <row r="34" spans="1:15" ht="15" x14ac:dyDescent="0.25">
      <c r="A34" s="1"/>
      <c r="B34" s="58">
        <v>32</v>
      </c>
      <c r="C34" s="58">
        <v>169</v>
      </c>
      <c r="D34" s="1"/>
      <c r="E34" s="1"/>
      <c r="F34" s="1"/>
      <c r="G34" s="1"/>
      <c r="H34" s="1"/>
      <c r="I34" s="1"/>
      <c r="J34" s="1"/>
      <c r="K34" s="1"/>
      <c r="L34" s="1"/>
    </row>
    <row r="35" spans="1:15" ht="15" x14ac:dyDescent="0.25">
      <c r="A35" s="1"/>
      <c r="B35" s="58">
        <v>33</v>
      </c>
      <c r="C35" s="58">
        <v>160</v>
      </c>
      <c r="D35" s="1"/>
      <c r="E35" s="1"/>
      <c r="F35" s="1"/>
      <c r="G35" s="1"/>
      <c r="H35" s="1"/>
      <c r="I35" s="1"/>
      <c r="J35" s="1"/>
      <c r="K35" s="1"/>
      <c r="L35" s="1"/>
    </row>
    <row r="36" spans="1:15" ht="15" x14ac:dyDescent="0.25">
      <c r="A36" s="1"/>
      <c r="B36" s="58">
        <v>34</v>
      </c>
      <c r="C36" s="58">
        <v>166</v>
      </c>
      <c r="D36" s="1"/>
      <c r="E36" s="1"/>
      <c r="F36" s="1"/>
      <c r="G36" s="1"/>
      <c r="H36" s="1"/>
      <c r="I36" s="1"/>
      <c r="J36" s="1"/>
      <c r="K36" s="1"/>
      <c r="L36" s="1"/>
    </row>
    <row r="37" spans="1:15" ht="15" x14ac:dyDescent="0.25">
      <c r="A37" s="1"/>
      <c r="B37" s="58">
        <v>35</v>
      </c>
      <c r="C37" s="58">
        <v>163</v>
      </c>
      <c r="D37" s="1"/>
      <c r="E37" s="1"/>
      <c r="F37" s="1"/>
      <c r="G37" s="1"/>
      <c r="H37" s="1"/>
      <c r="I37" s="1"/>
      <c r="J37" s="1"/>
      <c r="K37" s="1"/>
      <c r="L37" s="1"/>
    </row>
    <row r="38" spans="1:15" ht="15" x14ac:dyDescent="0.25">
      <c r="A38" s="1"/>
      <c r="B38" s="58">
        <v>36</v>
      </c>
      <c r="C38" s="58">
        <v>179</v>
      </c>
      <c r="D38" s="1"/>
      <c r="E38" s="1"/>
      <c r="F38" s="1"/>
      <c r="G38" s="1"/>
      <c r="H38" s="1"/>
      <c r="I38" s="1"/>
      <c r="J38" s="1"/>
      <c r="K38" s="1"/>
      <c r="L38" s="1"/>
    </row>
    <row r="39" spans="1:15" ht="15" x14ac:dyDescent="0.25">
      <c r="A39" s="1"/>
      <c r="B39" s="58">
        <v>37</v>
      </c>
      <c r="C39" s="58">
        <v>162</v>
      </c>
      <c r="D39" s="1"/>
      <c r="E39" s="1"/>
      <c r="F39" s="1"/>
      <c r="G39" s="1"/>
      <c r="H39" s="1"/>
      <c r="I39" s="1"/>
      <c r="J39" s="1"/>
      <c r="K39" s="1"/>
      <c r="L39" s="1"/>
    </row>
    <row r="40" spans="1:15" ht="15" x14ac:dyDescent="0.25">
      <c r="A40" s="1"/>
      <c r="B40" s="58">
        <v>38</v>
      </c>
      <c r="C40" s="58">
        <v>165</v>
      </c>
      <c r="D40" s="1"/>
      <c r="E40" s="1"/>
      <c r="F40" s="1"/>
      <c r="G40" s="1"/>
      <c r="H40" s="1"/>
      <c r="I40" s="1"/>
      <c r="J40" s="1"/>
      <c r="K40" s="1"/>
      <c r="L40" s="1"/>
    </row>
    <row r="41" spans="1:15" ht="15" x14ac:dyDescent="0.25">
      <c r="A41" s="1"/>
      <c r="B41" s="58">
        <v>39</v>
      </c>
      <c r="C41" s="58">
        <v>173</v>
      </c>
      <c r="D41" s="1"/>
      <c r="E41" s="1"/>
      <c r="F41" s="1"/>
      <c r="G41" s="1"/>
      <c r="H41" s="1"/>
      <c r="I41" s="1"/>
      <c r="J41" s="1"/>
      <c r="K41" s="1"/>
      <c r="L41" s="1"/>
    </row>
    <row r="42" spans="1:15" ht="15" x14ac:dyDescent="0.25">
      <c r="A42" s="1"/>
      <c r="B42" s="58">
        <v>40</v>
      </c>
      <c r="C42" s="58">
        <v>160</v>
      </c>
      <c r="D42" s="1"/>
      <c r="E42" s="1"/>
      <c r="F42" s="1"/>
      <c r="G42" s="1"/>
      <c r="H42" s="1"/>
      <c r="I42" s="1"/>
      <c r="J42" s="1"/>
      <c r="K42" s="1"/>
      <c r="L42" s="1"/>
    </row>
    <row r="43" spans="1:15" ht="15" x14ac:dyDescent="0.25">
      <c r="A43" s="1"/>
      <c r="B43" s="58">
        <v>41</v>
      </c>
      <c r="C43" s="58">
        <v>177</v>
      </c>
      <c r="D43" s="1"/>
      <c r="E43" s="1"/>
      <c r="F43" s="1"/>
      <c r="G43" s="1"/>
      <c r="H43" s="1"/>
      <c r="I43" s="1"/>
      <c r="J43" s="1"/>
      <c r="K43" s="1"/>
      <c r="L43" s="1"/>
    </row>
    <row r="44" spans="1:15" ht="15" x14ac:dyDescent="0.25">
      <c r="A44" s="1"/>
      <c r="B44" s="58">
        <v>42</v>
      </c>
      <c r="C44" s="58">
        <v>179</v>
      </c>
      <c r="D44" s="1"/>
      <c r="E44" s="1"/>
      <c r="F44" s="1"/>
      <c r="G44" s="1"/>
      <c r="H44" s="1"/>
      <c r="I44" s="1"/>
      <c r="J44" s="1"/>
      <c r="K44" s="1"/>
      <c r="L44" s="1"/>
    </row>
    <row r="45" spans="1:15" ht="15" x14ac:dyDescent="0.25">
      <c r="A45" s="1"/>
      <c r="B45" s="58">
        <v>43</v>
      </c>
      <c r="C45" s="58">
        <v>171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5" ht="15" x14ac:dyDescent="0.25">
      <c r="A46" s="1"/>
      <c r="B46" s="58">
        <v>44</v>
      </c>
      <c r="C46" s="58">
        <v>165</v>
      </c>
      <c r="D46" s="1"/>
      <c r="E46" s="1"/>
      <c r="F46" s="1"/>
      <c r="G46" s="1"/>
      <c r="H46" s="1"/>
      <c r="I46" s="1"/>
      <c r="J46" s="1"/>
      <c r="K46" s="1"/>
      <c r="L46" s="1"/>
    </row>
    <row r="47" spans="1:15" ht="15" x14ac:dyDescent="0.25">
      <c r="A47" s="1"/>
      <c r="B47" s="58">
        <v>45</v>
      </c>
      <c r="C47" s="58">
        <v>181</v>
      </c>
      <c r="D47" s="1"/>
      <c r="E47" s="1"/>
      <c r="F47" s="1"/>
      <c r="G47" s="1"/>
      <c r="H47" s="1"/>
      <c r="I47" s="1"/>
      <c r="J47" s="1"/>
      <c r="K47" s="1"/>
      <c r="L47" s="1"/>
    </row>
    <row r="48" spans="1:15" ht="15" x14ac:dyDescent="0.25">
      <c r="A48" s="1"/>
      <c r="B48" s="58">
        <v>46</v>
      </c>
      <c r="C48" s="58">
        <v>170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15" x14ac:dyDescent="0.25">
      <c r="A49" s="1"/>
      <c r="B49" s="58">
        <v>47</v>
      </c>
      <c r="C49" s="58">
        <v>178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ht="15" x14ac:dyDescent="0.25">
      <c r="A50" s="1"/>
      <c r="B50" s="58">
        <v>48</v>
      </c>
      <c r="C50" s="58">
        <v>180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ht="15" x14ac:dyDescent="0.25">
      <c r="A51" s="1"/>
      <c r="B51" s="58">
        <v>49</v>
      </c>
      <c r="C51" s="58">
        <v>168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ht="15" x14ac:dyDescent="0.25">
      <c r="A52" s="1"/>
      <c r="B52" s="58">
        <v>50</v>
      </c>
      <c r="C52" s="58">
        <v>180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ht="15" x14ac:dyDescent="0.25">
      <c r="A53" s="1"/>
      <c r="B53" s="58">
        <v>51</v>
      </c>
      <c r="C53" s="58">
        <v>177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ht="15" x14ac:dyDescent="0.25">
      <c r="A54" s="1"/>
      <c r="B54" s="58">
        <v>52</v>
      </c>
      <c r="C54" s="58">
        <v>174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ht="15" x14ac:dyDescent="0.25">
      <c r="A55" s="1"/>
      <c r="B55" s="58">
        <v>53</v>
      </c>
      <c r="C55" s="58">
        <v>164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ht="15" x14ac:dyDescent="0.25">
      <c r="A56" s="1"/>
      <c r="B56" s="58">
        <v>54</v>
      </c>
      <c r="C56" s="58">
        <v>167</v>
      </c>
      <c r="D56" s="1"/>
      <c r="E56" s="1"/>
      <c r="F56" s="1"/>
      <c r="G56" s="1"/>
      <c r="H56" s="1"/>
      <c r="I56" s="1"/>
      <c r="J56" s="1"/>
      <c r="K56" s="1"/>
      <c r="L56" s="1"/>
    </row>
    <row r="57" spans="1:12" ht="15" x14ac:dyDescent="0.25">
      <c r="A57" s="1"/>
      <c r="B57" s="58">
        <v>55</v>
      </c>
      <c r="C57" s="58">
        <v>196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 ht="15" x14ac:dyDescent="0.25">
      <c r="A58" s="1"/>
      <c r="B58" s="58">
        <v>56</v>
      </c>
      <c r="C58" s="58">
        <v>175</v>
      </c>
      <c r="D58" s="1"/>
      <c r="E58" s="1"/>
      <c r="F58" s="1"/>
      <c r="G58" s="1"/>
      <c r="H58" s="1"/>
      <c r="I58" s="1"/>
      <c r="J58" s="1"/>
      <c r="K58" s="1"/>
      <c r="L58" s="1"/>
    </row>
    <row r="59" spans="1:12" ht="15" x14ac:dyDescent="0.25">
      <c r="A59" s="1"/>
      <c r="B59" s="58">
        <v>57</v>
      </c>
      <c r="C59" s="58">
        <v>175</v>
      </c>
      <c r="D59" s="1"/>
      <c r="E59" s="1"/>
      <c r="F59" s="1"/>
      <c r="G59" s="1"/>
      <c r="H59" s="1"/>
      <c r="I59" s="1"/>
      <c r="J59" s="1"/>
      <c r="K59" s="1"/>
      <c r="L59" s="1"/>
    </row>
    <row r="60" spans="1:12" ht="15" x14ac:dyDescent="0.25">
      <c r="A60" s="1"/>
      <c r="B60" s="58">
        <v>58</v>
      </c>
      <c r="C60" s="58">
        <v>183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ht="15" x14ac:dyDescent="0.25">
      <c r="A61" s="1"/>
      <c r="B61" s="58">
        <v>59</v>
      </c>
      <c r="C61" s="58">
        <v>158</v>
      </c>
      <c r="D61" s="1"/>
      <c r="E61" s="1"/>
      <c r="F61" s="1"/>
      <c r="G61" s="1"/>
      <c r="H61" s="1"/>
      <c r="I61" s="1"/>
      <c r="J61" s="1"/>
      <c r="K61" s="1"/>
      <c r="L61" s="1"/>
    </row>
    <row r="62" spans="1:12" ht="15" x14ac:dyDescent="0.25">
      <c r="A62" s="1"/>
      <c r="B62" s="58">
        <v>60</v>
      </c>
      <c r="C62" s="58">
        <v>176</v>
      </c>
      <c r="D62" s="1"/>
      <c r="E62" s="1"/>
      <c r="F62" s="1"/>
      <c r="G62" s="1"/>
      <c r="H62" s="1"/>
      <c r="I62" s="1"/>
      <c r="J62" s="1"/>
      <c r="K62" s="1"/>
      <c r="L62" s="1"/>
    </row>
    <row r="63" spans="1:12" ht="15" x14ac:dyDescent="0.25">
      <c r="A63" s="1"/>
      <c r="B63" s="58">
        <v>61</v>
      </c>
      <c r="C63" s="58">
        <v>173</v>
      </c>
      <c r="D63" s="1"/>
      <c r="E63" s="1"/>
      <c r="F63" s="1"/>
      <c r="G63" s="1"/>
      <c r="H63" s="1"/>
      <c r="I63" s="1"/>
      <c r="J63" s="1"/>
      <c r="K63" s="1"/>
      <c r="L63" s="1"/>
    </row>
    <row r="64" spans="1:12" ht="15" x14ac:dyDescent="0.25">
      <c r="A64" s="1"/>
      <c r="B64" s="58">
        <v>62</v>
      </c>
      <c r="C64" s="58">
        <v>167</v>
      </c>
      <c r="D64" s="1"/>
      <c r="E64" s="1"/>
      <c r="F64" s="1"/>
      <c r="G64" s="1"/>
      <c r="H64" s="1"/>
      <c r="I64" s="1"/>
      <c r="J64" s="1"/>
      <c r="K64" s="1"/>
      <c r="L64" s="1"/>
    </row>
    <row r="65" spans="1:12" ht="15" x14ac:dyDescent="0.25">
      <c r="A65" s="1"/>
      <c r="B65" s="58">
        <v>63</v>
      </c>
      <c r="C65" s="58">
        <v>183</v>
      </c>
      <c r="D65" s="1"/>
      <c r="E65" s="1"/>
      <c r="F65" s="1"/>
      <c r="G65" s="1"/>
      <c r="H65" s="1"/>
      <c r="I65" s="1"/>
      <c r="J65" s="1"/>
      <c r="K65" s="1"/>
      <c r="L65" s="1"/>
    </row>
    <row r="66" spans="1:12" ht="15" x14ac:dyDescent="0.25">
      <c r="A66" s="1"/>
      <c r="B66" s="58">
        <v>64</v>
      </c>
      <c r="C66" s="58">
        <v>175</v>
      </c>
      <c r="D66" s="1"/>
      <c r="E66" s="1"/>
      <c r="F66" s="1"/>
      <c r="G66" s="1"/>
      <c r="H66" s="1"/>
      <c r="I66" s="1"/>
      <c r="J66" s="1"/>
      <c r="K66" s="1"/>
      <c r="L66" s="1"/>
    </row>
    <row r="67" spans="1:12" ht="15" x14ac:dyDescent="0.25">
      <c r="A67" s="1"/>
      <c r="B67" s="58">
        <v>65</v>
      </c>
      <c r="C67" s="58">
        <v>168</v>
      </c>
      <c r="D67" s="1"/>
      <c r="E67" s="1"/>
      <c r="F67" s="1"/>
      <c r="G67" s="1"/>
      <c r="H67" s="1"/>
      <c r="I67" s="1"/>
      <c r="J67" s="1"/>
      <c r="K67" s="1"/>
      <c r="L67" s="1"/>
    </row>
    <row r="68" spans="1:12" ht="15" x14ac:dyDescent="0.25">
      <c r="A68" s="1"/>
      <c r="B68" s="58">
        <v>66</v>
      </c>
      <c r="C68" s="58">
        <v>167</v>
      </c>
      <c r="D68" s="1"/>
      <c r="E68" s="1"/>
      <c r="F68" s="1"/>
      <c r="G68" s="1"/>
      <c r="H68" s="1"/>
      <c r="I68" s="1"/>
      <c r="J68" s="1"/>
      <c r="K68" s="1"/>
      <c r="L68" s="1"/>
    </row>
    <row r="69" spans="1:12" ht="15" x14ac:dyDescent="0.25">
      <c r="A69" s="1"/>
      <c r="B69" s="58">
        <v>67</v>
      </c>
      <c r="C69" s="58">
        <v>177</v>
      </c>
      <c r="D69" s="1"/>
      <c r="E69" s="1"/>
      <c r="F69" s="1"/>
      <c r="G69" s="1"/>
      <c r="H69" s="1"/>
      <c r="I69" s="1"/>
      <c r="J69" s="1"/>
      <c r="K69" s="1"/>
      <c r="L69" s="1"/>
    </row>
    <row r="70" spans="1:12" ht="15" x14ac:dyDescent="0.25">
      <c r="A70" s="1"/>
      <c r="B70" s="58">
        <v>68</v>
      </c>
      <c r="C70" s="58">
        <v>166</v>
      </c>
      <c r="D70" s="1"/>
      <c r="E70" s="1"/>
      <c r="F70" s="1"/>
      <c r="G70" s="1"/>
      <c r="H70" s="1"/>
      <c r="I70" s="1"/>
      <c r="J70" s="1"/>
      <c r="K70" s="1"/>
      <c r="L70" s="1"/>
    </row>
    <row r="71" spans="1:12" ht="15" x14ac:dyDescent="0.25">
      <c r="A71" s="1"/>
      <c r="B71" s="58">
        <v>69</v>
      </c>
      <c r="C71" s="58">
        <v>179</v>
      </c>
      <c r="D71" s="1"/>
      <c r="E71" s="1"/>
      <c r="F71" s="1"/>
      <c r="G71" s="1"/>
      <c r="H71" s="1"/>
      <c r="I71" s="1"/>
      <c r="J71" s="1"/>
      <c r="K71" s="1"/>
      <c r="L71" s="1"/>
    </row>
    <row r="72" spans="1:12" ht="15" x14ac:dyDescent="0.25">
      <c r="A72" s="1"/>
      <c r="B72" s="58">
        <v>70</v>
      </c>
      <c r="C72" s="58">
        <v>177</v>
      </c>
      <c r="D72" s="1"/>
      <c r="E72" s="1"/>
      <c r="F72" s="1"/>
      <c r="G72" s="1"/>
      <c r="H72" s="1"/>
      <c r="I72" s="1"/>
      <c r="J72" s="1"/>
      <c r="K72" s="1"/>
      <c r="L72" s="1"/>
    </row>
    <row r="73" spans="1:12" ht="15" x14ac:dyDescent="0.25">
      <c r="A73" s="1"/>
      <c r="B73" s="58">
        <v>71</v>
      </c>
      <c r="C73" s="58">
        <v>183</v>
      </c>
      <c r="D73" s="1"/>
      <c r="E73" s="1"/>
      <c r="F73" s="1"/>
      <c r="G73" s="1"/>
      <c r="H73" s="1"/>
      <c r="I73" s="1"/>
      <c r="J73" s="1"/>
      <c r="K73" s="1"/>
      <c r="L73" s="1"/>
    </row>
    <row r="74" spans="1:12" ht="15" x14ac:dyDescent="0.25">
      <c r="A74" s="1"/>
      <c r="B74" s="58">
        <v>72</v>
      </c>
      <c r="C74" s="58">
        <v>163</v>
      </c>
      <c r="D74" s="1"/>
      <c r="E74" s="1"/>
      <c r="F74" s="1"/>
      <c r="G74" s="1"/>
      <c r="H74" s="1"/>
      <c r="I74" s="1"/>
      <c r="J74" s="1"/>
      <c r="K74" s="1"/>
      <c r="L74" s="1"/>
    </row>
    <row r="75" spans="1:12" ht="15" x14ac:dyDescent="0.25">
      <c r="A75" s="1"/>
      <c r="B75" s="58">
        <v>73</v>
      </c>
      <c r="C75" s="58">
        <v>168</v>
      </c>
      <c r="D75" s="1"/>
      <c r="E75" s="1"/>
      <c r="F75" s="1"/>
      <c r="G75" s="1"/>
      <c r="H75" s="1"/>
      <c r="I75" s="1"/>
      <c r="J75" s="1"/>
      <c r="K75" s="1"/>
      <c r="L75" s="1"/>
    </row>
    <row r="76" spans="1:12" ht="15" x14ac:dyDescent="0.25">
      <c r="A76" s="1"/>
      <c r="B76" s="58">
        <v>74</v>
      </c>
      <c r="C76" s="58">
        <v>178</v>
      </c>
      <c r="D76" s="1"/>
      <c r="E76" s="1"/>
      <c r="F76" s="1"/>
      <c r="G76" s="1"/>
      <c r="H76" s="1"/>
      <c r="I76" s="1"/>
      <c r="J76" s="1"/>
      <c r="K76" s="1"/>
      <c r="L76" s="1"/>
    </row>
    <row r="77" spans="1:12" ht="15" x14ac:dyDescent="0.25">
      <c r="A77" s="1"/>
      <c r="B77" s="58">
        <v>75</v>
      </c>
      <c r="C77" s="58">
        <v>167</v>
      </c>
      <c r="D77" s="1"/>
      <c r="E77" s="1"/>
      <c r="F77" s="1"/>
      <c r="G77" s="1"/>
      <c r="H77" s="1"/>
      <c r="I77" s="1"/>
      <c r="J77" s="1"/>
      <c r="K77" s="1"/>
      <c r="L77" s="1"/>
    </row>
    <row r="78" spans="1:12" ht="15" x14ac:dyDescent="0.25">
      <c r="A78" s="1"/>
      <c r="B78" s="58">
        <v>76</v>
      </c>
      <c r="C78" s="58">
        <v>174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 ht="15" x14ac:dyDescent="0.25">
      <c r="A79" s="1"/>
      <c r="B79" s="58">
        <v>77</v>
      </c>
      <c r="C79" s="58">
        <v>161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ht="15" x14ac:dyDescent="0.25">
      <c r="A80" s="1"/>
      <c r="B80" s="58">
        <v>78</v>
      </c>
      <c r="C80" s="58">
        <v>164</v>
      </c>
      <c r="D80" s="1"/>
      <c r="E80" s="1"/>
      <c r="F80" s="1"/>
      <c r="G80" s="1"/>
      <c r="H80" s="1"/>
      <c r="I80" s="1"/>
      <c r="J80" s="1"/>
      <c r="K80" s="1"/>
      <c r="L80" s="1"/>
    </row>
    <row r="81" spans="1:12" ht="15" x14ac:dyDescent="0.25">
      <c r="A81" s="1"/>
      <c r="B81" s="58">
        <v>79</v>
      </c>
      <c r="C81" s="58">
        <v>166</v>
      </c>
      <c r="D81" s="1"/>
      <c r="E81" s="1"/>
      <c r="F81" s="1"/>
      <c r="G81" s="1"/>
      <c r="H81" s="1"/>
      <c r="I81" s="1"/>
      <c r="J81" s="1"/>
      <c r="K81" s="1"/>
      <c r="L81" s="1"/>
    </row>
    <row r="82" spans="1:12" ht="15" x14ac:dyDescent="0.25">
      <c r="A82" s="1"/>
      <c r="B82" s="58">
        <v>80</v>
      </c>
      <c r="C82" s="58">
        <v>163</v>
      </c>
      <c r="D82" s="1"/>
      <c r="E82" s="1"/>
      <c r="F82" s="1"/>
      <c r="G82" s="1"/>
      <c r="H82" s="1"/>
      <c r="I82" s="1"/>
      <c r="J82" s="1"/>
      <c r="K82" s="1"/>
      <c r="L82" s="1"/>
    </row>
    <row r="83" spans="1:12" ht="15" x14ac:dyDescent="0.25">
      <c r="A83" s="1"/>
      <c r="B83" s="58">
        <v>81</v>
      </c>
      <c r="C83" s="58">
        <v>180</v>
      </c>
      <c r="D83" s="1"/>
      <c r="E83" s="1"/>
      <c r="F83" s="1"/>
      <c r="G83" s="1"/>
      <c r="H83" s="1"/>
      <c r="I83" s="1"/>
      <c r="J83" s="1"/>
      <c r="K83" s="1"/>
      <c r="L83" s="1"/>
    </row>
    <row r="84" spans="1:12" ht="15" x14ac:dyDescent="0.25">
      <c r="A84" s="1"/>
      <c r="B84" s="58">
        <v>82</v>
      </c>
      <c r="C84" s="58">
        <v>180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ht="15" x14ac:dyDescent="0.25">
      <c r="A85" s="1"/>
      <c r="B85" s="58">
        <v>83</v>
      </c>
      <c r="C85" s="58">
        <v>172</v>
      </c>
      <c r="D85" s="1"/>
      <c r="E85" s="1"/>
      <c r="F85" s="1"/>
      <c r="G85" s="1"/>
      <c r="H85" s="1"/>
      <c r="I85" s="1"/>
      <c r="J85" s="1"/>
      <c r="K85" s="1"/>
      <c r="L85" s="1"/>
    </row>
    <row r="86" spans="1:12" ht="15" x14ac:dyDescent="0.25">
      <c r="A86" s="1"/>
      <c r="B86" s="58">
        <v>84</v>
      </c>
      <c r="C86" s="58">
        <v>167</v>
      </c>
      <c r="D86" s="1"/>
      <c r="E86" s="1"/>
      <c r="F86" s="1"/>
      <c r="G86" s="1"/>
      <c r="H86" s="1"/>
      <c r="I86" s="1"/>
      <c r="J86" s="1"/>
      <c r="K86" s="1"/>
      <c r="L86" s="1"/>
    </row>
    <row r="87" spans="1:12" ht="15" x14ac:dyDescent="0.25">
      <c r="A87" s="1"/>
      <c r="B87" s="58">
        <v>85</v>
      </c>
      <c r="C87" s="58">
        <v>174</v>
      </c>
      <c r="D87" s="1"/>
      <c r="E87" s="1"/>
      <c r="F87" s="1"/>
      <c r="G87" s="1"/>
      <c r="H87" s="1"/>
      <c r="I87" s="1"/>
      <c r="J87" s="1"/>
      <c r="K87" s="1"/>
      <c r="L87" s="1"/>
    </row>
    <row r="88" spans="1:12" ht="15" x14ac:dyDescent="0.25">
      <c r="A88" s="1"/>
      <c r="B88" s="58">
        <v>86</v>
      </c>
      <c r="C88" s="58">
        <v>161</v>
      </c>
      <c r="D88" s="1"/>
      <c r="E88" s="1"/>
      <c r="F88" s="1"/>
      <c r="G88" s="1"/>
      <c r="H88" s="1"/>
      <c r="I88" s="1"/>
      <c r="J88" s="1"/>
      <c r="K88" s="1"/>
      <c r="L88" s="1"/>
    </row>
    <row r="89" spans="1:12" ht="15" x14ac:dyDescent="0.25">
      <c r="A89" s="1"/>
      <c r="B89" s="58">
        <v>87</v>
      </c>
      <c r="C89" s="58">
        <v>173</v>
      </c>
      <c r="D89" s="1"/>
      <c r="E89" s="1"/>
      <c r="F89" s="1"/>
      <c r="G89" s="1"/>
      <c r="H89" s="1"/>
      <c r="I89" s="1"/>
      <c r="J89" s="1"/>
      <c r="K89" s="1"/>
      <c r="L89" s="1"/>
    </row>
    <row r="90" spans="1:12" ht="15" x14ac:dyDescent="0.25">
      <c r="A90" s="1"/>
      <c r="B90" s="58">
        <v>88</v>
      </c>
      <c r="C90" s="58">
        <v>176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 ht="15" x14ac:dyDescent="0.25">
      <c r="A91" s="1"/>
      <c r="B91" s="58">
        <v>89</v>
      </c>
      <c r="C91" s="58">
        <v>165</v>
      </c>
      <c r="D91" s="1"/>
      <c r="E91" s="1"/>
      <c r="F91" s="1"/>
      <c r="G91" s="1"/>
      <c r="H91" s="1"/>
      <c r="I91" s="1"/>
      <c r="J91" s="1"/>
      <c r="K91" s="1"/>
      <c r="L91" s="1"/>
    </row>
    <row r="92" spans="1:12" ht="15" x14ac:dyDescent="0.25">
      <c r="A92" s="1"/>
      <c r="B92" s="58">
        <v>90</v>
      </c>
      <c r="C92" s="58">
        <v>163</v>
      </c>
      <c r="D92" s="1"/>
      <c r="E92" s="1"/>
      <c r="F92" s="1"/>
      <c r="G92" s="1"/>
      <c r="H92" s="1"/>
      <c r="I92" s="1"/>
      <c r="J92" s="1"/>
      <c r="K92" s="1"/>
      <c r="L92" s="1"/>
    </row>
    <row r="93" spans="1:12" ht="15" x14ac:dyDescent="0.25">
      <c r="A93" s="1"/>
      <c r="B93" s="58">
        <v>91</v>
      </c>
      <c r="C93" s="58">
        <v>176</v>
      </c>
      <c r="D93" s="1"/>
      <c r="E93" s="1"/>
      <c r="F93" s="1"/>
      <c r="G93" s="1"/>
      <c r="H93" s="1"/>
      <c r="I93" s="1"/>
      <c r="J93" s="1"/>
      <c r="K93" s="1"/>
      <c r="L93" s="1"/>
    </row>
    <row r="94" spans="1:12" ht="15" x14ac:dyDescent="0.25">
      <c r="A94" s="1"/>
      <c r="B94" s="58">
        <v>92</v>
      </c>
      <c r="C94" s="58">
        <v>160</v>
      </c>
      <c r="D94" s="1"/>
      <c r="E94" s="1"/>
      <c r="F94" s="1"/>
      <c r="G94" s="1"/>
      <c r="H94" s="1"/>
      <c r="I94" s="1"/>
      <c r="J94" s="1"/>
      <c r="K94" s="1"/>
      <c r="L94" s="1"/>
    </row>
    <row r="95" spans="1:12" ht="15" x14ac:dyDescent="0.25">
      <c r="A95" s="1"/>
      <c r="B95" s="58">
        <v>93</v>
      </c>
      <c r="C95" s="58">
        <v>178</v>
      </c>
      <c r="D95" s="1"/>
      <c r="E95" s="1"/>
      <c r="F95" s="1"/>
      <c r="G95" s="1"/>
      <c r="H95" s="1"/>
      <c r="I95" s="1"/>
      <c r="J95" s="1"/>
      <c r="K95" s="1"/>
      <c r="L95" s="1"/>
    </row>
    <row r="96" spans="1:12" ht="15" x14ac:dyDescent="0.25">
      <c r="A96" s="1"/>
      <c r="B96" s="58">
        <v>94</v>
      </c>
      <c r="C96" s="58">
        <v>177</v>
      </c>
      <c r="D96" s="1"/>
      <c r="E96" s="1"/>
      <c r="F96" s="1"/>
      <c r="G96" s="1"/>
      <c r="H96" s="1"/>
      <c r="I96" s="1"/>
      <c r="J96" s="1"/>
      <c r="K96" s="1"/>
      <c r="L96" s="1"/>
    </row>
    <row r="97" spans="1:12" ht="15" x14ac:dyDescent="0.25">
      <c r="A97" s="1"/>
      <c r="B97" s="58">
        <v>95</v>
      </c>
      <c r="C97" s="58">
        <v>170</v>
      </c>
      <c r="D97" s="1"/>
      <c r="E97" s="1"/>
      <c r="F97" s="1"/>
      <c r="G97" s="1"/>
      <c r="H97" s="1"/>
      <c r="I97" s="1"/>
      <c r="J97" s="1"/>
      <c r="K97" s="1"/>
      <c r="L97" s="1"/>
    </row>
    <row r="98" spans="1:12" ht="15" x14ac:dyDescent="0.25">
      <c r="A98" s="1"/>
      <c r="B98" s="58">
        <v>96</v>
      </c>
      <c r="C98" s="58">
        <v>148</v>
      </c>
      <c r="D98" s="1"/>
      <c r="E98" s="1"/>
      <c r="F98" s="1"/>
      <c r="G98" s="1"/>
      <c r="H98" s="1"/>
      <c r="I98" s="1"/>
      <c r="J98" s="1"/>
      <c r="K98" s="1"/>
      <c r="L98" s="1"/>
    </row>
    <row r="99" spans="1:12" ht="15" x14ac:dyDescent="0.25">
      <c r="A99" s="1"/>
      <c r="B99" s="58">
        <v>97</v>
      </c>
      <c r="C99" s="58">
        <v>169</v>
      </c>
      <c r="D99" s="1"/>
      <c r="E99" s="1"/>
      <c r="F99" s="1"/>
      <c r="G99" s="1"/>
      <c r="H99" s="1"/>
      <c r="I99" s="1"/>
      <c r="J99" s="1"/>
      <c r="K99" s="1"/>
      <c r="L99" s="1"/>
    </row>
    <row r="100" spans="1:12" ht="15" x14ac:dyDescent="0.25">
      <c r="A100" s="1"/>
      <c r="B100" s="58">
        <v>98</v>
      </c>
      <c r="C100" s="58">
        <v>167</v>
      </c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 x14ac:dyDescent="0.25">
      <c r="A101" s="1"/>
      <c r="B101" s="58">
        <v>99</v>
      </c>
      <c r="C101" s="58">
        <v>189</v>
      </c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 x14ac:dyDescent="0.25">
      <c r="A102" s="1"/>
      <c r="B102" s="58">
        <v>100</v>
      </c>
      <c r="C102" s="58">
        <v>164</v>
      </c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 x14ac:dyDescent="0.25">
      <c r="A103" s="1"/>
      <c r="B103" s="58">
        <v>101</v>
      </c>
      <c r="C103" s="58">
        <v>172</v>
      </c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 x14ac:dyDescent="0.25">
      <c r="A104" s="1"/>
      <c r="B104" s="58">
        <v>102</v>
      </c>
      <c r="C104" s="58">
        <v>175</v>
      </c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 x14ac:dyDescent="0.25">
      <c r="A105" s="1"/>
      <c r="B105" s="58">
        <v>103</v>
      </c>
      <c r="C105" s="58">
        <v>183</v>
      </c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 x14ac:dyDescent="0.25">
      <c r="A106" s="1"/>
      <c r="B106" s="58">
        <v>104</v>
      </c>
      <c r="C106" s="58">
        <v>169</v>
      </c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 x14ac:dyDescent="0.25">
      <c r="A107" s="1"/>
      <c r="B107" s="58">
        <v>105</v>
      </c>
      <c r="C107" s="58">
        <v>172</v>
      </c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 x14ac:dyDescent="0.25">
      <c r="A108" s="1"/>
      <c r="B108" s="58">
        <v>106</v>
      </c>
      <c r="C108" s="58">
        <v>166</v>
      </c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 x14ac:dyDescent="0.25">
      <c r="A109" s="1"/>
      <c r="B109" s="58">
        <v>107</v>
      </c>
      <c r="C109" s="58">
        <v>174</v>
      </c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 x14ac:dyDescent="0.25">
      <c r="A110" s="1"/>
      <c r="B110" s="58">
        <v>108</v>
      </c>
      <c r="C110" s="58">
        <v>159</v>
      </c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 x14ac:dyDescent="0.25">
      <c r="A111" s="1"/>
      <c r="B111" s="58">
        <v>109</v>
      </c>
      <c r="C111" s="58">
        <v>157</v>
      </c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 x14ac:dyDescent="0.25">
      <c r="A112" s="1"/>
      <c r="B112" s="58">
        <v>110</v>
      </c>
      <c r="C112" s="58">
        <v>167</v>
      </c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 x14ac:dyDescent="0.25">
      <c r="A113" s="1"/>
      <c r="B113" s="58">
        <v>111</v>
      </c>
      <c r="C113" s="58">
        <v>182</v>
      </c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 x14ac:dyDescent="0.25">
      <c r="A114" s="1"/>
      <c r="B114" s="58">
        <v>112</v>
      </c>
      <c r="C114" s="58">
        <v>150</v>
      </c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 x14ac:dyDescent="0.25">
      <c r="A115" s="1"/>
      <c r="B115" s="58">
        <v>113</v>
      </c>
      <c r="C115" s="58">
        <v>178</v>
      </c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 x14ac:dyDescent="0.25">
      <c r="A116" s="1"/>
      <c r="B116" s="58">
        <v>114</v>
      </c>
      <c r="C116" s="58">
        <v>174</v>
      </c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 x14ac:dyDescent="0.25">
      <c r="A117" s="1"/>
      <c r="B117" s="58">
        <v>115</v>
      </c>
      <c r="C117" s="58">
        <v>165</v>
      </c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 x14ac:dyDescent="0.25">
      <c r="A118" s="1"/>
      <c r="B118" s="58">
        <v>116</v>
      </c>
      <c r="C118" s="58">
        <v>178</v>
      </c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 x14ac:dyDescent="0.25">
      <c r="A119" s="1"/>
      <c r="B119" s="58">
        <v>117</v>
      </c>
      <c r="C119" s="58">
        <v>161</v>
      </c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 x14ac:dyDescent="0.25">
      <c r="A120" s="1"/>
      <c r="B120" s="58">
        <v>118</v>
      </c>
      <c r="C120" s="58">
        <v>180</v>
      </c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 x14ac:dyDescent="0.25">
      <c r="A121" s="1"/>
      <c r="B121" s="58">
        <v>119</v>
      </c>
      <c r="C121" s="58">
        <v>166</v>
      </c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 x14ac:dyDescent="0.25">
      <c r="A122" s="1"/>
      <c r="B122" s="58">
        <v>120</v>
      </c>
      <c r="C122" s="58">
        <v>175</v>
      </c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 x14ac:dyDescent="0.25">
      <c r="A123" s="1"/>
      <c r="B123" s="58">
        <v>121</v>
      </c>
      <c r="C123" s="58">
        <v>169</v>
      </c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 x14ac:dyDescent="0.25">
      <c r="A124" s="1"/>
      <c r="B124" s="58">
        <v>122</v>
      </c>
      <c r="C124" s="58">
        <v>167</v>
      </c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 x14ac:dyDescent="0.25">
      <c r="A125" s="1"/>
      <c r="B125" s="58">
        <v>123</v>
      </c>
      <c r="C125" s="58">
        <v>182</v>
      </c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 x14ac:dyDescent="0.25">
      <c r="A126" s="1"/>
      <c r="B126" s="58">
        <v>124</v>
      </c>
      <c r="C126" s="58">
        <v>166</v>
      </c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 x14ac:dyDescent="0.25">
      <c r="A127" s="1"/>
      <c r="B127" s="58">
        <v>125</v>
      </c>
      <c r="C127" s="58">
        <v>176</v>
      </c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 x14ac:dyDescent="0.25">
      <c r="A128" s="1"/>
      <c r="B128" s="58">
        <v>126</v>
      </c>
      <c r="C128" s="58">
        <v>165</v>
      </c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 x14ac:dyDescent="0.25">
      <c r="A129" s="1"/>
      <c r="B129" s="58">
        <v>127</v>
      </c>
      <c r="C129" s="58">
        <v>190</v>
      </c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 x14ac:dyDescent="0.25">
      <c r="A130" s="1"/>
      <c r="B130" s="58">
        <v>128</v>
      </c>
      <c r="C130" s="58">
        <v>164</v>
      </c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 x14ac:dyDescent="0.25">
      <c r="A131" s="1"/>
      <c r="B131" s="58">
        <v>129</v>
      </c>
      <c r="C131" s="58">
        <v>182</v>
      </c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 x14ac:dyDescent="0.25">
      <c r="A132" s="1"/>
      <c r="B132" s="58">
        <v>130</v>
      </c>
      <c r="C132" s="58">
        <v>189</v>
      </c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 x14ac:dyDescent="0.25">
      <c r="A133" s="1"/>
      <c r="B133" s="58">
        <v>131</v>
      </c>
      <c r="C133" s="58">
        <v>162</v>
      </c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 x14ac:dyDescent="0.25">
      <c r="A134" s="1"/>
      <c r="B134" s="58">
        <v>132</v>
      </c>
      <c r="C134" s="58">
        <v>188</v>
      </c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 x14ac:dyDescent="0.25">
      <c r="A135" s="1"/>
      <c r="B135" s="58">
        <v>133</v>
      </c>
      <c r="C135" s="58">
        <v>168</v>
      </c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 x14ac:dyDescent="0.25">
      <c r="A136" s="1"/>
      <c r="B136" s="58">
        <v>134</v>
      </c>
      <c r="C136" s="58">
        <v>178</v>
      </c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 x14ac:dyDescent="0.25">
      <c r="A137" s="1"/>
      <c r="B137" s="58">
        <v>135</v>
      </c>
      <c r="C137" s="58">
        <v>184</v>
      </c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 x14ac:dyDescent="0.25">
      <c r="A138" s="1"/>
      <c r="B138" s="58">
        <v>136</v>
      </c>
      <c r="C138" s="58">
        <v>169</v>
      </c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 x14ac:dyDescent="0.25">
      <c r="A139" s="1"/>
      <c r="B139" s="58">
        <v>137</v>
      </c>
      <c r="C139" s="58">
        <v>178</v>
      </c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 x14ac:dyDescent="0.25">
      <c r="A140" s="1"/>
      <c r="B140" s="58">
        <v>138</v>
      </c>
      <c r="C140" s="58">
        <v>165</v>
      </c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 x14ac:dyDescent="0.25">
      <c r="A141" s="1"/>
      <c r="B141" s="58">
        <v>139</v>
      </c>
      <c r="C141" s="58">
        <v>177</v>
      </c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 x14ac:dyDescent="0.25">
      <c r="A142" s="1"/>
      <c r="B142" s="58">
        <v>140</v>
      </c>
      <c r="C142" s="58">
        <v>156</v>
      </c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 x14ac:dyDescent="0.25">
      <c r="A143" s="1"/>
      <c r="B143" s="58">
        <v>141</v>
      </c>
      <c r="C143" s="58">
        <v>181</v>
      </c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 x14ac:dyDescent="0.25">
      <c r="A144" s="1"/>
      <c r="B144" s="58">
        <v>142</v>
      </c>
      <c r="C144" s="58">
        <v>170</v>
      </c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 x14ac:dyDescent="0.25">
      <c r="A145" s="1"/>
      <c r="B145" s="58">
        <v>143</v>
      </c>
      <c r="C145" s="58">
        <v>172</v>
      </c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 x14ac:dyDescent="0.25">
      <c r="A146" s="1"/>
      <c r="B146" s="58">
        <v>144</v>
      </c>
      <c r="C146" s="58">
        <v>161</v>
      </c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 x14ac:dyDescent="0.25">
      <c r="A147" s="1"/>
      <c r="B147" s="58">
        <v>145</v>
      </c>
      <c r="C147" s="58">
        <v>175</v>
      </c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 x14ac:dyDescent="0.25">
      <c r="A148" s="1"/>
      <c r="B148" s="58">
        <v>146</v>
      </c>
      <c r="C148" s="58">
        <v>183</v>
      </c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 x14ac:dyDescent="0.25">
      <c r="A149" s="1"/>
      <c r="B149" s="58">
        <v>147</v>
      </c>
      <c r="C149" s="58">
        <v>174</v>
      </c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 x14ac:dyDescent="0.25">
      <c r="A150" s="1"/>
      <c r="B150" s="58">
        <v>148</v>
      </c>
      <c r="C150" s="58">
        <v>170</v>
      </c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 x14ac:dyDescent="0.25">
      <c r="A151" s="1"/>
      <c r="B151" s="58">
        <v>149</v>
      </c>
      <c r="C151" s="58">
        <v>184</v>
      </c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 x14ac:dyDescent="0.25">
      <c r="A152" s="1"/>
      <c r="B152" s="58">
        <v>150</v>
      </c>
      <c r="C152" s="58">
        <v>184</v>
      </c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 x14ac:dyDescent="0.25">
      <c r="A153" s="1"/>
      <c r="B153" s="58">
        <v>151</v>
      </c>
      <c r="C153" s="58">
        <v>174</v>
      </c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 x14ac:dyDescent="0.25">
      <c r="A154" s="1"/>
      <c r="B154" s="58">
        <v>152</v>
      </c>
      <c r="C154" s="58">
        <v>164</v>
      </c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 x14ac:dyDescent="0.25">
      <c r="A155" s="1"/>
      <c r="B155" s="58">
        <v>153</v>
      </c>
      <c r="C155" s="58">
        <v>173</v>
      </c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 x14ac:dyDescent="0.25">
      <c r="A156" s="1"/>
      <c r="B156" s="58">
        <v>154</v>
      </c>
      <c r="C156" s="58">
        <v>159</v>
      </c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 x14ac:dyDescent="0.25">
      <c r="A157" s="1"/>
      <c r="B157" s="58">
        <v>155</v>
      </c>
      <c r="C157" s="58">
        <v>164</v>
      </c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 x14ac:dyDescent="0.25">
      <c r="A158" s="1"/>
      <c r="B158" s="58">
        <v>156</v>
      </c>
      <c r="C158" s="58">
        <v>166</v>
      </c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 x14ac:dyDescent="0.25">
      <c r="A159" s="1"/>
      <c r="B159" s="58">
        <v>157</v>
      </c>
      <c r="C159" s="58">
        <v>179</v>
      </c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 x14ac:dyDescent="0.25">
      <c r="A160" s="1"/>
      <c r="B160" s="58">
        <v>158</v>
      </c>
      <c r="C160" s="58">
        <v>169</v>
      </c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 x14ac:dyDescent="0.25">
      <c r="A161" s="1"/>
      <c r="B161" s="58">
        <v>159</v>
      </c>
      <c r="C161" s="58">
        <v>171</v>
      </c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 x14ac:dyDescent="0.25">
      <c r="A162" s="1"/>
      <c r="B162" s="58">
        <v>160</v>
      </c>
      <c r="C162" s="58">
        <v>170</v>
      </c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 x14ac:dyDescent="0.25">
      <c r="A163" s="1"/>
      <c r="B163" s="58">
        <v>161</v>
      </c>
      <c r="C163" s="58">
        <v>190</v>
      </c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 x14ac:dyDescent="0.25">
      <c r="A164" s="1"/>
      <c r="B164" s="58">
        <v>162</v>
      </c>
      <c r="C164" s="58">
        <v>170</v>
      </c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 x14ac:dyDescent="0.25">
      <c r="A165" s="1"/>
      <c r="B165" s="58">
        <v>163</v>
      </c>
      <c r="C165" s="58">
        <v>174</v>
      </c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 x14ac:dyDescent="0.25">
      <c r="A166" s="1"/>
      <c r="B166" s="58">
        <v>164</v>
      </c>
      <c r="C166" s="58">
        <v>171</v>
      </c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 x14ac:dyDescent="0.25">
      <c r="A167" s="1"/>
      <c r="B167" s="58">
        <v>165</v>
      </c>
      <c r="C167" s="58">
        <v>173</v>
      </c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 x14ac:dyDescent="0.25">
      <c r="A168" s="1"/>
      <c r="B168" s="58">
        <v>166</v>
      </c>
      <c r="C168" s="58">
        <v>184</v>
      </c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 x14ac:dyDescent="0.25">
      <c r="A169" s="1"/>
      <c r="B169" s="58">
        <v>167</v>
      </c>
      <c r="C169" s="58">
        <v>173</v>
      </c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 x14ac:dyDescent="0.25">
      <c r="A170" s="1"/>
      <c r="B170" s="58">
        <v>168</v>
      </c>
      <c r="C170" s="58">
        <v>176</v>
      </c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 x14ac:dyDescent="0.25">
      <c r="A171" s="1"/>
      <c r="B171" s="58">
        <v>169</v>
      </c>
      <c r="C171" s="58">
        <v>171</v>
      </c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 x14ac:dyDescent="0.25">
      <c r="A172" s="1"/>
      <c r="B172" s="58">
        <v>170</v>
      </c>
      <c r="C172" s="58">
        <v>183</v>
      </c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 x14ac:dyDescent="0.25">
      <c r="A173" s="1"/>
      <c r="B173" s="58">
        <v>171</v>
      </c>
      <c r="C173" s="58">
        <v>161</v>
      </c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 x14ac:dyDescent="0.25">
      <c r="A174" s="1"/>
      <c r="B174" s="58">
        <v>172</v>
      </c>
      <c r="C174" s="58">
        <v>172</v>
      </c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 x14ac:dyDescent="0.25">
      <c r="A175" s="1"/>
      <c r="B175" s="58">
        <v>173</v>
      </c>
      <c r="C175" s="58">
        <v>167</v>
      </c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 x14ac:dyDescent="0.25">
      <c r="A176" s="1"/>
      <c r="B176" s="58">
        <v>174</v>
      </c>
      <c r="C176" s="58">
        <v>175</v>
      </c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 x14ac:dyDescent="0.25">
      <c r="A177" s="1"/>
      <c r="B177" s="58">
        <v>175</v>
      </c>
      <c r="C177" s="58">
        <v>165</v>
      </c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 x14ac:dyDescent="0.25">
      <c r="A178" s="1"/>
      <c r="B178" s="58">
        <v>176</v>
      </c>
      <c r="C178" s="58">
        <v>173</v>
      </c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 x14ac:dyDescent="0.25">
      <c r="A179" s="1"/>
      <c r="B179" s="58">
        <v>177</v>
      </c>
      <c r="C179" s="58">
        <v>170</v>
      </c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 x14ac:dyDescent="0.25">
      <c r="A180" s="1"/>
      <c r="B180" s="58">
        <v>178</v>
      </c>
      <c r="C180" s="58">
        <v>172</v>
      </c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 x14ac:dyDescent="0.25">
      <c r="A181" s="1"/>
      <c r="B181" s="58">
        <v>179</v>
      </c>
      <c r="C181" s="58">
        <v>173</v>
      </c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 x14ac:dyDescent="0.25">
      <c r="A182" s="1"/>
      <c r="B182" s="58">
        <v>180</v>
      </c>
      <c r="C182" s="58">
        <v>168</v>
      </c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 x14ac:dyDescent="0.25">
      <c r="A183" s="1"/>
      <c r="B183" s="58">
        <v>181</v>
      </c>
      <c r="C183" s="58">
        <v>169</v>
      </c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 x14ac:dyDescent="0.25">
      <c r="A184" s="1"/>
      <c r="B184" s="58">
        <v>182</v>
      </c>
      <c r="C184" s="58">
        <v>177</v>
      </c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 x14ac:dyDescent="0.25">
      <c r="A185" s="1"/>
      <c r="B185" s="58">
        <v>183</v>
      </c>
      <c r="C185" s="58">
        <v>165</v>
      </c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 x14ac:dyDescent="0.25">
      <c r="A186" s="1"/>
      <c r="B186" s="58">
        <v>184</v>
      </c>
      <c r="C186" s="58">
        <v>170</v>
      </c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 x14ac:dyDescent="0.25">
      <c r="A187" s="1"/>
      <c r="B187" s="58">
        <v>185</v>
      </c>
      <c r="C187" s="58">
        <v>159</v>
      </c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 x14ac:dyDescent="0.25">
      <c r="A188" s="1"/>
      <c r="B188" s="58">
        <v>186</v>
      </c>
      <c r="C188" s="58">
        <v>150</v>
      </c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 x14ac:dyDescent="0.25">
      <c r="A189" s="1"/>
      <c r="B189" s="58">
        <v>187</v>
      </c>
      <c r="C189" s="58">
        <v>166</v>
      </c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 x14ac:dyDescent="0.25">
      <c r="A190" s="1"/>
      <c r="B190" s="58">
        <v>188</v>
      </c>
      <c r="C190" s="58">
        <v>179</v>
      </c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 x14ac:dyDescent="0.25">
      <c r="A191" s="1"/>
      <c r="B191" s="58">
        <v>189</v>
      </c>
      <c r="C191" s="58">
        <v>181</v>
      </c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 x14ac:dyDescent="0.25">
      <c r="A192" s="1"/>
      <c r="B192" s="58">
        <v>190</v>
      </c>
      <c r="C192" s="58">
        <v>169</v>
      </c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 x14ac:dyDescent="0.25">
      <c r="A193" s="1"/>
      <c r="B193" s="58">
        <v>191</v>
      </c>
      <c r="C193" s="58">
        <v>182</v>
      </c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 x14ac:dyDescent="0.25">
      <c r="A194" s="1"/>
      <c r="B194" s="58">
        <v>192</v>
      </c>
      <c r="C194" s="58">
        <v>176</v>
      </c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 x14ac:dyDescent="0.25">
      <c r="A195" s="1"/>
      <c r="B195" s="58">
        <v>193</v>
      </c>
      <c r="C195" s="58">
        <v>162</v>
      </c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 x14ac:dyDescent="0.25">
      <c r="A196" s="1"/>
      <c r="B196" s="58">
        <v>194</v>
      </c>
      <c r="C196" s="58">
        <v>182</v>
      </c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 x14ac:dyDescent="0.25">
      <c r="A197" s="1"/>
      <c r="B197" s="58">
        <v>195</v>
      </c>
      <c r="C197" s="58">
        <v>185</v>
      </c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 x14ac:dyDescent="0.25">
      <c r="A198" s="1"/>
      <c r="B198" s="58">
        <v>196</v>
      </c>
      <c r="C198" s="58">
        <v>168</v>
      </c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 x14ac:dyDescent="0.25">
      <c r="A199" s="1"/>
      <c r="B199" s="58">
        <v>197</v>
      </c>
      <c r="C199" s="58">
        <v>171</v>
      </c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 x14ac:dyDescent="0.25">
      <c r="A200" s="1"/>
      <c r="B200" s="58">
        <v>198</v>
      </c>
      <c r="C200" s="58">
        <v>176</v>
      </c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 x14ac:dyDescent="0.25">
      <c r="A201" s="1"/>
      <c r="B201" s="58">
        <v>199</v>
      </c>
      <c r="C201" s="58">
        <v>173</v>
      </c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 x14ac:dyDescent="0.25">
      <c r="A202" s="1"/>
      <c r="B202" s="58">
        <v>200</v>
      </c>
      <c r="C202" s="58">
        <v>166</v>
      </c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</sheetData>
  <mergeCells count="1">
    <mergeCell ref="E4:I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O92"/>
  <sheetViews>
    <sheetView workbookViewId="0"/>
  </sheetViews>
  <sheetFormatPr defaultColWidth="0" defaultRowHeight="14.1" customHeight="1" zeroHeight="1" x14ac:dyDescent="0.25"/>
  <cols>
    <col min="1" max="1" width="2.375" style="3" customWidth="1"/>
    <col min="2" max="3" width="12.875" style="3" customWidth="1"/>
    <col min="4" max="4" width="3.875" style="3" customWidth="1"/>
    <col min="5" max="11" width="12.875" style="3" customWidth="1"/>
    <col min="12" max="12" width="10.875" style="3" customWidth="1"/>
    <col min="13" max="13" width="35.875" style="3" hidden="1" customWidth="1"/>
    <col min="14" max="14" width="35.875" style="4" hidden="1" customWidth="1"/>
    <col min="15" max="15" width="35.875" style="5" hidden="1" customWidth="1"/>
    <col min="16" max="16384" width="10.875" style="3" hidden="1"/>
  </cols>
  <sheetData>
    <row r="1" spans="1:15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31.5" x14ac:dyDescent="0.35">
      <c r="A2" s="1"/>
      <c r="B2" s="81" t="str">
        <f>IF(T!$D$2=T!$M$2,M2,IF(T!$D$2=T!$N$2,N2,O2))</f>
        <v>Give the asked values in the green cells.</v>
      </c>
      <c r="C2" s="82"/>
      <c r="D2" s="82"/>
      <c r="E2" s="82"/>
      <c r="F2" s="82"/>
      <c r="G2" s="82"/>
      <c r="H2" s="82"/>
      <c r="I2" s="82"/>
      <c r="J2" s="82"/>
      <c r="K2" s="83"/>
      <c r="L2" s="1"/>
      <c r="M2" s="10" t="s">
        <v>9</v>
      </c>
      <c r="N2" s="11" t="s">
        <v>10</v>
      </c>
      <c r="O2" s="12" t="s">
        <v>11</v>
      </c>
    </row>
    <row r="3" spans="1:15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5" x14ac:dyDescent="0.25">
      <c r="A4" s="1"/>
      <c r="B4" s="89" t="str">
        <f>IF(T!$D$2=T!$M$2,M4,IF(T!$D$2=T!$N$2,N4,O4))</f>
        <v>The following graph shows the distribution of body mass index values of boys of different ages using percentiles.</v>
      </c>
      <c r="C4" s="89"/>
      <c r="D4" s="89"/>
      <c r="E4" s="89"/>
      <c r="F4" s="89"/>
      <c r="G4" s="89"/>
      <c r="H4" s="89"/>
      <c r="I4" s="89"/>
      <c r="J4" s="89"/>
      <c r="K4" s="89"/>
      <c r="L4" s="1"/>
      <c r="M4" s="3" t="s">
        <v>312</v>
      </c>
      <c r="N4" s="4" t="s">
        <v>313</v>
      </c>
      <c r="O4" s="5" t="s">
        <v>314</v>
      </c>
    </row>
    <row r="5" spans="1:15" ht="15" x14ac:dyDescent="0.25">
      <c r="A5" s="1"/>
      <c r="B5" s="89" t="str">
        <f>IF(T!$D$2=T!$M$2,M5,IF(T!$D$2=T!$N$2,N5,O5))</f>
        <v>The Body Mass Index (BMI) is the ratio of body mass (in kg) and the square of body height (in m).</v>
      </c>
      <c r="C5" s="89"/>
      <c r="D5" s="89"/>
      <c r="E5" s="89"/>
      <c r="F5" s="89"/>
      <c r="G5" s="89"/>
      <c r="H5" s="89"/>
      <c r="I5" s="89"/>
      <c r="J5" s="89"/>
      <c r="K5" s="89"/>
      <c r="L5" s="1"/>
      <c r="M5" s="3" t="s">
        <v>315</v>
      </c>
      <c r="N5" s="4" t="s">
        <v>316</v>
      </c>
      <c r="O5" s="5" t="s">
        <v>317</v>
      </c>
    </row>
    <row r="6" spans="1:15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 t="s">
        <v>318</v>
      </c>
      <c r="N7" s="4" t="s">
        <v>319</v>
      </c>
      <c r="O7" s="5" t="s">
        <v>320</v>
      </c>
    </row>
    <row r="8" spans="1:15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 t="s">
        <v>321</v>
      </c>
      <c r="N8" s="4" t="s">
        <v>322</v>
      </c>
      <c r="O8" s="5" t="s">
        <v>323</v>
      </c>
    </row>
    <row r="9" spans="1:15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" t="s">
        <v>324</v>
      </c>
      <c r="N9" s="4" t="s">
        <v>325</v>
      </c>
      <c r="O9" s="5" t="s">
        <v>326</v>
      </c>
    </row>
    <row r="10" spans="1:15" ht="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 t="s">
        <v>327</v>
      </c>
      <c r="N10" s="4" t="s">
        <v>328</v>
      </c>
      <c r="O10" s="5" t="s">
        <v>329</v>
      </c>
    </row>
    <row r="11" spans="1:15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 t="s">
        <v>330</v>
      </c>
      <c r="N11" s="4" t="s">
        <v>331</v>
      </c>
      <c r="O11" s="5" t="s">
        <v>332</v>
      </c>
    </row>
    <row r="12" spans="1:15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 t="s">
        <v>333</v>
      </c>
      <c r="N12" s="4" t="s">
        <v>334</v>
      </c>
      <c r="O12" s="5" t="s">
        <v>335</v>
      </c>
    </row>
    <row r="13" spans="1:15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 t="s">
        <v>336</v>
      </c>
      <c r="N13" s="4" t="s">
        <v>337</v>
      </c>
      <c r="O13" s="5" t="s">
        <v>338</v>
      </c>
    </row>
    <row r="14" spans="1:15" ht="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 t="s">
        <v>339</v>
      </c>
      <c r="N14" s="4" t="s">
        <v>340</v>
      </c>
      <c r="O14" s="5" t="s">
        <v>341</v>
      </c>
    </row>
    <row r="15" spans="1:15" ht="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 t="s">
        <v>342</v>
      </c>
      <c r="N15" s="4" t="s">
        <v>343</v>
      </c>
      <c r="O15" s="5" t="s">
        <v>344</v>
      </c>
    </row>
    <row r="16" spans="1:15" ht="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 t="s">
        <v>345</v>
      </c>
      <c r="N16" s="4" t="s">
        <v>346</v>
      </c>
      <c r="O16" s="5" t="s">
        <v>347</v>
      </c>
    </row>
    <row r="17" spans="1:15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" t="s">
        <v>348</v>
      </c>
      <c r="N17" s="4" t="s">
        <v>349</v>
      </c>
      <c r="O17" s="5" t="s">
        <v>350</v>
      </c>
    </row>
    <row r="18" spans="1:15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" t="s">
        <v>351</v>
      </c>
      <c r="N18" s="4" t="s">
        <v>352</v>
      </c>
      <c r="O18" s="5" t="s">
        <v>353</v>
      </c>
    </row>
    <row r="19" spans="1:15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 t="s">
        <v>354</v>
      </c>
      <c r="N19" s="4" t="s">
        <v>355</v>
      </c>
      <c r="O19" s="5" t="s">
        <v>356</v>
      </c>
    </row>
    <row r="20" spans="1:15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 t="s">
        <v>357</v>
      </c>
      <c r="N20" s="4" t="s">
        <v>358</v>
      </c>
      <c r="O20" s="5" t="s">
        <v>359</v>
      </c>
    </row>
    <row r="21" spans="1:15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 t="s">
        <v>360</v>
      </c>
      <c r="N21" s="4" t="s">
        <v>361</v>
      </c>
      <c r="O21" s="5" t="s">
        <v>362</v>
      </c>
    </row>
    <row r="22" spans="1:15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 t="s">
        <v>363</v>
      </c>
      <c r="N22" s="4" t="s">
        <v>364</v>
      </c>
      <c r="O22" s="5" t="s">
        <v>365</v>
      </c>
    </row>
    <row r="23" spans="1:15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5" ht="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5" ht="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5" ht="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5" ht="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5" ht="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5" ht="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5" ht="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5" ht="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5" ht="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 x14ac:dyDescent="0.25">
      <c r="A62" s="1"/>
      <c r="B62" s="3" t="str">
        <f>IF(T!$D$2=T!$M$2,M7,IF(T!$D$2=T!$N$2,N7,O7))</f>
        <v>What percentage of 8-year-old children has a BMI less than 20 kg/m^2?</v>
      </c>
      <c r="L62" s="1"/>
    </row>
    <row r="63" spans="1:12" ht="15" x14ac:dyDescent="0.25">
      <c r="A63" s="1"/>
      <c r="B63" s="65"/>
      <c r="C63" s="19" t="str">
        <f>IF(B63="","×",IF(B63='3m'!B63,"✓","×"))</f>
        <v>×</v>
      </c>
      <c r="L63" s="1"/>
    </row>
    <row r="64" spans="1:12" ht="15" x14ac:dyDescent="0.25">
      <c r="A64" s="1"/>
      <c r="B64" s="3" t="str">
        <f>IF(T!$D$2=T!$M$2,M8,IF(T!$D$2=T!$N$2,N8,O8))</f>
        <v>What percentage of 8-year-old children has a BMI greater than 17 kg/m^2?</v>
      </c>
      <c r="L64" s="1"/>
    </row>
    <row r="65" spans="1:12" ht="15" x14ac:dyDescent="0.25">
      <c r="A65" s="1"/>
      <c r="B65" s="65"/>
      <c r="C65" s="19" t="str">
        <f>IF(B65="","×",IF(B65='3m'!B65,"✓","×"))</f>
        <v>×</v>
      </c>
      <c r="L65" s="1"/>
    </row>
    <row r="66" spans="1:12" ht="15" x14ac:dyDescent="0.25">
      <c r="A66" s="1"/>
      <c r="B66" s="3" t="str">
        <f>IF(T!$D$2=T!$M$2,M9,IF(T!$D$2=T!$N$2,N9,O9))</f>
        <v>What percentage of 15-year-old children has a BMI between 16.5 and 22 kg/m^2?</v>
      </c>
      <c r="L66" s="1"/>
    </row>
    <row r="67" spans="1:12" ht="15" x14ac:dyDescent="0.25">
      <c r="A67" s="1"/>
      <c r="B67" s="65"/>
      <c r="C67" s="19" t="str">
        <f>IF(B67="","×",IF(B67='3m'!B67,"✓","×"))</f>
        <v>×</v>
      </c>
      <c r="L67" s="1"/>
    </row>
    <row r="68" spans="1:12" ht="15" x14ac:dyDescent="0.25">
      <c r="A68" s="1"/>
      <c r="B68" s="3" t="str">
        <f>IF(T!$D$2=T!$M$2,M10,IF(T!$D$2=T!$N$2,N10,O10))</f>
        <v>What percentage of 11-year-old children has a BMI between 14.5 and 15 kg/m^2?</v>
      </c>
      <c r="L68" s="1"/>
    </row>
    <row r="69" spans="1:12" ht="15" x14ac:dyDescent="0.25">
      <c r="A69" s="1"/>
      <c r="B69" s="65"/>
      <c r="C69" s="19" t="str">
        <f>IF(B69="","×",IF(B69='3m'!B69,"✓","×"))</f>
        <v>×</v>
      </c>
      <c r="L69" s="1"/>
    </row>
    <row r="70" spans="1:12" ht="15" x14ac:dyDescent="0.25">
      <c r="A70" s="1"/>
      <c r="B70" s="3" t="str">
        <f>IF(T!$D$2=T!$M$2,M11,IF(T!$D$2=T!$N$2,N11,O11))</f>
        <v>What is the upper quartile of the BMI of 16-and-a-half year old children in kg/m^2?</v>
      </c>
      <c r="L70" s="1"/>
    </row>
    <row r="71" spans="1:12" ht="15" x14ac:dyDescent="0.25">
      <c r="A71" s="1"/>
      <c r="B71" s="18"/>
      <c r="C71" s="19" t="str">
        <f>IF(B71="","×",IF(B71='3m'!B71,"✓","×"))</f>
        <v>×</v>
      </c>
      <c r="L71" s="1"/>
    </row>
    <row r="72" spans="1:12" ht="15" x14ac:dyDescent="0.25">
      <c r="A72" s="1"/>
      <c r="B72" s="3" t="str">
        <f>IF(T!$D$2=T!$M$2,M12,IF(T!$D$2=T!$N$2,N12,O12))</f>
        <v>What is the interquartile range (in kg/m^2) of the BMI of 13-year-old children?</v>
      </c>
      <c r="L72" s="1"/>
    </row>
    <row r="73" spans="1:12" ht="15" x14ac:dyDescent="0.25">
      <c r="A73" s="1"/>
      <c r="B73" s="18"/>
      <c r="C73" s="19" t="str">
        <f>IF(B73="","×",IF(B73='3m'!B73,"✓","×"))</f>
        <v>×</v>
      </c>
      <c r="L73" s="1"/>
    </row>
    <row r="74" spans="1:12" ht="15" x14ac:dyDescent="0.25">
      <c r="A74" s="1"/>
      <c r="B74" s="3" t="str">
        <f>IF(T!$D$2=T!$M$2,M13,IF(T!$D$2=T!$N$2,N13,O13))</f>
        <v>What percentage of 12-year-old children has a BMI falling out of the 15–21 kg/m^2 range?</v>
      </c>
      <c r="L74" s="1"/>
    </row>
    <row r="75" spans="1:12" ht="15" x14ac:dyDescent="0.25">
      <c r="A75" s="1"/>
      <c r="B75" s="65"/>
      <c r="C75" s="19" t="str">
        <f>IF(B75="","×",IF(B75='3m'!B75,"✓","×"))</f>
        <v>×</v>
      </c>
      <c r="L75" s="1"/>
    </row>
    <row r="76" spans="1:12" ht="15" x14ac:dyDescent="0.25">
      <c r="A76" s="1"/>
      <c r="B76" s="3" t="str">
        <f>IF(T!$D$2=T!$M$2,M14,IF(T!$D$2=T!$N$2,N14,O14))</f>
        <v>What is the lower quartile of the BMI of 15-and-a-half year old children in kg/m^2?</v>
      </c>
      <c r="L76" s="1"/>
    </row>
    <row r="77" spans="1:12" ht="15" x14ac:dyDescent="0.25">
      <c r="A77" s="1"/>
      <c r="B77" s="18"/>
      <c r="C77" s="19" t="str">
        <f>IF(B77="","×",IF(B77='3m'!B77,"✓","×"))</f>
        <v>×</v>
      </c>
      <c r="L77" s="1"/>
    </row>
    <row r="78" spans="1:12" ht="15" x14ac:dyDescent="0.25">
      <c r="A78" s="1"/>
      <c r="B78" s="3" t="str">
        <f>IF(T!$D$2=T!$M$2,M15,IF(T!$D$2=T!$N$2,N15,O15))</f>
        <v>What is the median of the BMI of 14-and-a-half year old children in kg/m^2?</v>
      </c>
      <c r="L78" s="1"/>
    </row>
    <row r="79" spans="1:12" ht="15" x14ac:dyDescent="0.25">
      <c r="A79" s="1"/>
      <c r="B79" s="18"/>
      <c r="C79" s="19" t="str">
        <f>IF(B79="","×",IF(B79='3m'!B79,"✓","×"))</f>
        <v>×</v>
      </c>
      <c r="L79" s="1"/>
    </row>
    <row r="80" spans="1:12" ht="15" x14ac:dyDescent="0.25">
      <c r="A80" s="1"/>
      <c r="B80" s="3" t="str">
        <f>IF(T!$D$2=T!$M$2,M16,IF(T!$D$2=T!$N$2,N16,O16))</f>
        <v>What percentage of 10-year-old children has a BMI greater than 15.5 kg/m^2?</v>
      </c>
      <c r="L80" s="1"/>
    </row>
    <row r="81" spans="1:12" ht="15" x14ac:dyDescent="0.25">
      <c r="A81" s="1"/>
      <c r="B81" s="65"/>
      <c r="C81" s="19" t="str">
        <f>IF(B81="","×",IF(B81='3m'!B81,"✓","×"))</f>
        <v>×</v>
      </c>
      <c r="L81" s="1"/>
    </row>
    <row r="82" spans="1:12" ht="15" x14ac:dyDescent="0.25">
      <c r="A82" s="1"/>
      <c r="B82" s="3" t="str">
        <f>IF(T!$D$2=T!$M$2,M17,IF(T!$D$2=T!$N$2,N17,O17))</f>
        <v>What is the interdecile range (in kg/m^2) of the BMI of 13-year-old children?</v>
      </c>
      <c r="L82" s="1"/>
    </row>
    <row r="83" spans="1:12" ht="15" x14ac:dyDescent="0.25">
      <c r="A83" s="1"/>
      <c r="B83" s="18"/>
      <c r="C83" s="19" t="str">
        <f>IF(B83="","×",IF(B83='3m'!B83,"✓","×"))</f>
        <v>×</v>
      </c>
      <c r="L83" s="1"/>
    </row>
    <row r="84" spans="1:12" ht="15" x14ac:dyDescent="0.25">
      <c r="A84" s="1"/>
      <c r="B84" s="3" t="str">
        <f>IF(T!$D$2=T!$M$2,M18,IF(T!$D$2=T!$N$2,N18,O18))</f>
        <v>What percentage of 9-year-old children has a BMI greater than 21 kg/m^2?</v>
      </c>
      <c r="L84" s="1"/>
    </row>
    <row r="85" spans="1:12" ht="15" x14ac:dyDescent="0.25">
      <c r="A85" s="1"/>
      <c r="B85" s="65"/>
      <c r="C85" s="19" t="str">
        <f>IF(B85="","×",IF(B85='3m'!B85,"✓","×"))</f>
        <v>×</v>
      </c>
      <c r="L85" s="1"/>
    </row>
    <row r="86" spans="1:12" ht="15" x14ac:dyDescent="0.25">
      <c r="A86" s="1"/>
      <c r="B86" s="3" t="str">
        <f>IF(T!$D$2=T!$M$2,M19,IF(T!$D$2=T!$N$2,N19,O19))</f>
        <v>In a student group of twenty everyone is 19 years old. What number of students are expected to have a BMI falling below 27.5 kg/m^2?</v>
      </c>
      <c r="L86" s="1"/>
    </row>
    <row r="87" spans="1:12" ht="15" x14ac:dyDescent="0.25">
      <c r="A87" s="1"/>
      <c r="B87" s="66"/>
      <c r="C87" s="19" t="str">
        <f>IF(B87="","×",IF(B87='3m'!B87,"✓","×"))</f>
        <v>×</v>
      </c>
      <c r="L87" s="1"/>
    </row>
    <row r="88" spans="1:12" ht="15" x14ac:dyDescent="0.25">
      <c r="A88" s="1"/>
      <c r="B88" s="3" t="str">
        <f>IF(T!$D$2=T!$M$2,M21,IF(T!$D$2=T!$N$2,N21,O21))</f>
        <v>What number out of six hundred 9-and-a-half year old children is expected to fall above 19 kg/m^2?</v>
      </c>
      <c r="L88" s="1"/>
    </row>
    <row r="89" spans="1:12" ht="15" x14ac:dyDescent="0.25">
      <c r="A89" s="1"/>
      <c r="B89" s="66"/>
      <c r="C89" s="19" t="str">
        <f>IF(B89="","×",IF(B89='3m'!B89,"✓","×"))</f>
        <v>×</v>
      </c>
      <c r="L89" s="1"/>
    </row>
    <row r="90" spans="1:12" ht="15" x14ac:dyDescent="0.25">
      <c r="A90" s="1"/>
      <c r="B90" s="3" t="str">
        <f>IF(T!$D$2=T!$M$2,M22,IF(T!$D$2=T!$N$2,N22,O22))</f>
        <v>What number out of four hundred 8-year-old children is expected to fall between 17 and 20 kg/m^2?</v>
      </c>
      <c r="L90" s="1"/>
    </row>
    <row r="91" spans="1:12" ht="15" x14ac:dyDescent="0.25">
      <c r="A91" s="1"/>
      <c r="B91" s="66"/>
      <c r="C91" s="19" t="str">
        <f>IF(B91="","×",IF(B91='3m'!B91,"✓","×"))</f>
        <v>×</v>
      </c>
      <c r="L91" s="1"/>
    </row>
    <row r="92" spans="1:12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</sheetData>
  <mergeCells count="3">
    <mergeCell ref="B2:K2"/>
    <mergeCell ref="B4:K4"/>
    <mergeCell ref="B5:K5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92"/>
  <sheetViews>
    <sheetView workbookViewId="0"/>
  </sheetViews>
  <sheetFormatPr defaultColWidth="0" defaultRowHeight="14.1" customHeight="1" zeroHeight="1" x14ac:dyDescent="0.25"/>
  <cols>
    <col min="1" max="1" width="2.375" style="3" customWidth="1"/>
    <col min="2" max="11" width="12.875" style="3" customWidth="1"/>
    <col min="12" max="12" width="10.875" style="3" customWidth="1"/>
    <col min="13" max="13" width="35.875" style="3" hidden="1" customWidth="1"/>
    <col min="14" max="14" width="35.875" style="4" hidden="1" customWidth="1"/>
    <col min="15" max="15" width="35.875" style="5" hidden="1" customWidth="1"/>
    <col min="16" max="16384" width="10.875" style="3" hidden="1"/>
  </cols>
  <sheetData>
    <row r="1" spans="1:15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31.5" x14ac:dyDescent="0.35">
      <c r="A2" s="1"/>
      <c r="B2" s="81" t="str">
        <f>IF(T!$D$2=T!$M$2,M2,IF(T!$D$2=T!$N$2,N2,O2))</f>
        <v>Give the asked values in the green cells.</v>
      </c>
      <c r="C2" s="82"/>
      <c r="D2" s="82"/>
      <c r="E2" s="82"/>
      <c r="F2" s="82"/>
      <c r="G2" s="82"/>
      <c r="H2" s="82"/>
      <c r="I2" s="82"/>
      <c r="J2" s="82"/>
      <c r="K2" s="83"/>
      <c r="L2" s="1"/>
      <c r="M2" s="10" t="s">
        <v>9</v>
      </c>
      <c r="N2" s="11" t="s">
        <v>10</v>
      </c>
      <c r="O2" s="12" t="s">
        <v>11</v>
      </c>
    </row>
    <row r="3" spans="1:15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5" x14ac:dyDescent="0.25">
      <c r="A4" s="1"/>
      <c r="B4" s="89" t="str">
        <f>IF(T!$D$2=T!$M$2,M4,IF(T!$D$2=T!$N$2,N4,O4))</f>
        <v>The following graph shows the distribution of body mass index values of boys of different ages using percentiles.</v>
      </c>
      <c r="C4" s="89"/>
      <c r="D4" s="89"/>
      <c r="E4" s="89"/>
      <c r="F4" s="89"/>
      <c r="G4" s="89"/>
      <c r="H4" s="89"/>
      <c r="I4" s="89"/>
      <c r="J4" s="89"/>
      <c r="K4" s="89"/>
      <c r="L4" s="1"/>
      <c r="M4" s="3" t="s">
        <v>312</v>
      </c>
      <c r="N4" s="4" t="s">
        <v>313</v>
      </c>
      <c r="O4" s="5" t="s">
        <v>314</v>
      </c>
    </row>
    <row r="5" spans="1:15" ht="15" x14ac:dyDescent="0.25">
      <c r="A5" s="1"/>
      <c r="B5" s="89" t="str">
        <f>IF(T!$D$2=T!$M$2,M5,IF(T!$D$2=T!$N$2,N5,O5))</f>
        <v>The Body Mass Index (BMI) is the ratio of body mass (in kg) and the square of body height (in m).</v>
      </c>
      <c r="C5" s="89"/>
      <c r="D5" s="89"/>
      <c r="E5" s="89"/>
      <c r="F5" s="89"/>
      <c r="G5" s="89"/>
      <c r="H5" s="89"/>
      <c r="I5" s="89"/>
      <c r="J5" s="89"/>
      <c r="K5" s="89"/>
      <c r="L5" s="1"/>
      <c r="M5" s="3" t="s">
        <v>315</v>
      </c>
      <c r="N5" s="4" t="s">
        <v>316</v>
      </c>
      <c r="O5" s="5" t="s">
        <v>317</v>
      </c>
    </row>
    <row r="6" spans="1:15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 t="s">
        <v>318</v>
      </c>
      <c r="N7" s="4" t="s">
        <v>319</v>
      </c>
      <c r="O7" s="5" t="s">
        <v>320</v>
      </c>
    </row>
    <row r="8" spans="1:15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 t="s">
        <v>321</v>
      </c>
      <c r="N8" s="4" t="s">
        <v>322</v>
      </c>
      <c r="O8" s="5" t="s">
        <v>323</v>
      </c>
    </row>
    <row r="9" spans="1:15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" t="s">
        <v>324</v>
      </c>
      <c r="N9" s="4" t="s">
        <v>325</v>
      </c>
      <c r="O9" s="5" t="s">
        <v>326</v>
      </c>
    </row>
    <row r="10" spans="1:15" ht="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 t="s">
        <v>327</v>
      </c>
      <c r="N10" s="4" t="s">
        <v>328</v>
      </c>
      <c r="O10" s="5" t="s">
        <v>329</v>
      </c>
    </row>
    <row r="11" spans="1:15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 t="s">
        <v>330</v>
      </c>
      <c r="N11" s="4" t="s">
        <v>331</v>
      </c>
      <c r="O11" s="5" t="s">
        <v>332</v>
      </c>
    </row>
    <row r="12" spans="1:15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 t="s">
        <v>333</v>
      </c>
      <c r="N12" s="4" t="s">
        <v>334</v>
      </c>
      <c r="O12" s="5" t="s">
        <v>335</v>
      </c>
    </row>
    <row r="13" spans="1:15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 t="s">
        <v>336</v>
      </c>
      <c r="N13" s="4" t="s">
        <v>337</v>
      </c>
      <c r="O13" s="5" t="s">
        <v>338</v>
      </c>
    </row>
    <row r="14" spans="1:15" ht="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 t="s">
        <v>339</v>
      </c>
      <c r="N14" s="4" t="s">
        <v>340</v>
      </c>
      <c r="O14" s="5" t="s">
        <v>341</v>
      </c>
    </row>
    <row r="15" spans="1:15" ht="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 t="s">
        <v>342</v>
      </c>
      <c r="N15" s="4" t="s">
        <v>343</v>
      </c>
      <c r="O15" s="5" t="s">
        <v>344</v>
      </c>
    </row>
    <row r="16" spans="1:15" ht="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 t="s">
        <v>345</v>
      </c>
      <c r="N16" s="4" t="s">
        <v>346</v>
      </c>
      <c r="O16" s="5" t="s">
        <v>347</v>
      </c>
    </row>
    <row r="17" spans="1:15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" t="s">
        <v>348</v>
      </c>
      <c r="N17" s="4" t="s">
        <v>349</v>
      </c>
      <c r="O17" s="5" t="s">
        <v>350</v>
      </c>
    </row>
    <row r="18" spans="1:15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" t="s">
        <v>351</v>
      </c>
      <c r="N18" s="4" t="s">
        <v>352</v>
      </c>
      <c r="O18" s="5" t="s">
        <v>353</v>
      </c>
    </row>
    <row r="19" spans="1:15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 t="s">
        <v>354</v>
      </c>
      <c r="N19" s="4" t="s">
        <v>355</v>
      </c>
      <c r="O19" s="5" t="s">
        <v>356</v>
      </c>
    </row>
    <row r="20" spans="1:15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 t="s">
        <v>357</v>
      </c>
      <c r="N20" s="4" t="s">
        <v>358</v>
      </c>
      <c r="O20" s="5" t="s">
        <v>359</v>
      </c>
    </row>
    <row r="21" spans="1:15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 t="s">
        <v>360</v>
      </c>
      <c r="N21" s="4" t="s">
        <v>361</v>
      </c>
      <c r="O21" s="5" t="s">
        <v>362</v>
      </c>
    </row>
    <row r="22" spans="1:15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 t="s">
        <v>363</v>
      </c>
      <c r="N22" s="4" t="s">
        <v>364</v>
      </c>
      <c r="O22" s="5" t="s">
        <v>365</v>
      </c>
    </row>
    <row r="23" spans="1:15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5" ht="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" t="s">
        <v>366</v>
      </c>
      <c r="N24" s="4" t="s">
        <v>367</v>
      </c>
      <c r="O24" s="5" t="s">
        <v>368</v>
      </c>
    </row>
    <row r="25" spans="1:15" ht="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" t="str">
        <f>IF(T!$D$2=T!$M$2,M24,IF(T!$D$2=T!$N$2,N24,O24))</f>
        <v>Reading of the age (vartically, to the x-axis), BMI (horizontally, to the y-axis), and percentile (along the curved line) values for question #1.</v>
      </c>
    </row>
    <row r="26" spans="1:15" ht="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5" ht="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5" ht="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5" ht="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5" ht="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5" ht="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5" ht="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 x14ac:dyDescent="0.25">
      <c r="A62" s="1"/>
      <c r="B62" s="3" t="str">
        <f>IF(T!$D$2=T!$M$2,M7,IF(T!$D$2=T!$N$2,N7,O7))</f>
        <v>What percentage of 8-year-old children has a BMI less than 20 kg/m^2?</v>
      </c>
      <c r="L62" s="1"/>
    </row>
    <row r="63" spans="1:12" ht="15" x14ac:dyDescent="0.25">
      <c r="A63" s="1"/>
      <c r="B63" s="65">
        <v>0.95</v>
      </c>
      <c r="L63" s="1"/>
    </row>
    <row r="64" spans="1:12" ht="15" x14ac:dyDescent="0.25">
      <c r="A64" s="1"/>
      <c r="B64" s="3" t="str">
        <f>IF(T!$D$2=T!$M$2,M8,IF(T!$D$2=T!$N$2,N8,O8))</f>
        <v>What percentage of 8-year-old children has a BMI greater than 17 kg/m^2?</v>
      </c>
      <c r="L64" s="1"/>
    </row>
    <row r="65" spans="1:12" ht="15" x14ac:dyDescent="0.25">
      <c r="A65" s="1"/>
      <c r="B65" s="65">
        <v>0.25</v>
      </c>
      <c r="L65" s="1"/>
    </row>
    <row r="66" spans="1:12" ht="15" x14ac:dyDescent="0.25">
      <c r="A66" s="1"/>
      <c r="B66" s="3" t="str">
        <f>IF(T!$D$2=T!$M$2,M9,IF(T!$D$2=T!$N$2,N9,O9))</f>
        <v>What percentage of 15-year-old children has a BMI between 16.5 and 22 kg/m^2?</v>
      </c>
      <c r="L66" s="1"/>
    </row>
    <row r="67" spans="1:12" ht="15" x14ac:dyDescent="0.25">
      <c r="A67" s="1"/>
      <c r="B67" s="65">
        <f>75%-5%</f>
        <v>0.7</v>
      </c>
      <c r="L67" s="1"/>
    </row>
    <row r="68" spans="1:12" ht="15" x14ac:dyDescent="0.25">
      <c r="A68" s="1"/>
      <c r="B68" s="3" t="str">
        <f>IF(T!$D$2=T!$M$2,M10,IF(T!$D$2=T!$N$2,N10,O10))</f>
        <v>What percentage of 11-year-old children has a BMI between 14.5 and 15 kg/m^2?</v>
      </c>
      <c r="L68" s="1"/>
    </row>
    <row r="69" spans="1:12" ht="15" x14ac:dyDescent="0.25">
      <c r="A69" s="1"/>
      <c r="B69" s="65">
        <f>10%-5%</f>
        <v>0.05</v>
      </c>
      <c r="L69" s="1"/>
    </row>
    <row r="70" spans="1:12" ht="15" x14ac:dyDescent="0.25">
      <c r="A70" s="1"/>
      <c r="B70" s="3" t="str">
        <f>IF(T!$D$2=T!$M$2,M11,IF(T!$D$2=T!$N$2,N11,O11))</f>
        <v>What is the upper quartile of the BMI of 16-and-a-half year old children in kg/m^2?</v>
      </c>
      <c r="L70" s="1"/>
    </row>
    <row r="71" spans="1:12" ht="15" x14ac:dyDescent="0.25">
      <c r="A71" s="1"/>
      <c r="B71" s="18">
        <v>23</v>
      </c>
      <c r="L71" s="1"/>
    </row>
    <row r="72" spans="1:12" ht="15" x14ac:dyDescent="0.25">
      <c r="A72" s="1"/>
      <c r="B72" s="3" t="str">
        <f>IF(T!$D$2=T!$M$2,M12,IF(T!$D$2=T!$N$2,N12,O12))</f>
        <v>What is the interquartile range (in kg/m^2) of the BMI of 13-year-old children?</v>
      </c>
      <c r="L72" s="1"/>
    </row>
    <row r="73" spans="1:12" ht="15" x14ac:dyDescent="0.25">
      <c r="A73" s="1"/>
      <c r="B73" s="18">
        <f>20.5-17</f>
        <v>3.5</v>
      </c>
      <c r="L73" s="1"/>
    </row>
    <row r="74" spans="1:12" ht="15" x14ac:dyDescent="0.25">
      <c r="A74" s="1"/>
      <c r="B74" s="3" t="str">
        <f>IF(T!$D$2=T!$M$2,M13,IF(T!$D$2=T!$N$2,N13,O13))</f>
        <v>What percentage of 12-year-old children has a BMI falling out of the 15–21 kg/m^2 range?</v>
      </c>
      <c r="L74" s="1"/>
    </row>
    <row r="75" spans="1:12" ht="15" x14ac:dyDescent="0.25">
      <c r="A75" s="1"/>
      <c r="B75" s="65">
        <f>100%-(85%-5%)</f>
        <v>0.20000000000000007</v>
      </c>
      <c r="L75" s="1"/>
    </row>
    <row r="76" spans="1:12" ht="15" x14ac:dyDescent="0.25">
      <c r="A76" s="1"/>
      <c r="B76" s="3" t="str">
        <f>IF(T!$D$2=T!$M$2,M14,IF(T!$D$2=T!$N$2,N14,O14))</f>
        <v>What is the lower quartile of the BMI of 15-and-a-half year old children in kg/m^2?</v>
      </c>
      <c r="L76" s="1"/>
    </row>
    <row r="77" spans="1:12" ht="15" x14ac:dyDescent="0.25">
      <c r="A77" s="1"/>
      <c r="B77" s="18">
        <v>18.5</v>
      </c>
      <c r="L77" s="1"/>
    </row>
    <row r="78" spans="1:12" ht="15" x14ac:dyDescent="0.25">
      <c r="A78" s="1"/>
      <c r="B78" s="3" t="str">
        <f>IF(T!$D$2=T!$M$2,M15,IF(T!$D$2=T!$N$2,N15,O15))</f>
        <v>What is the median of the BMI of 14-and-a-half year old children in kg/m^2?</v>
      </c>
      <c r="L78" s="1"/>
    </row>
    <row r="79" spans="1:12" ht="15" x14ac:dyDescent="0.25">
      <c r="A79" s="1"/>
      <c r="B79" s="18">
        <v>19.5</v>
      </c>
      <c r="L79" s="1"/>
    </row>
    <row r="80" spans="1:12" ht="15" x14ac:dyDescent="0.25">
      <c r="A80" s="1"/>
      <c r="B80" s="3" t="str">
        <f>IF(T!$D$2=T!$M$2,M16,IF(T!$D$2=T!$N$2,N16,O16))</f>
        <v>What percentage of 10-year-old children has a BMI greater than 15.5 kg/m^2?</v>
      </c>
      <c r="L80" s="1"/>
    </row>
    <row r="81" spans="1:12" ht="15" x14ac:dyDescent="0.25">
      <c r="A81" s="1"/>
      <c r="B81" s="65">
        <f>100%-25%</f>
        <v>0.75</v>
      </c>
      <c r="L81" s="1"/>
    </row>
    <row r="82" spans="1:12" ht="15" x14ac:dyDescent="0.25">
      <c r="A82" s="1"/>
      <c r="B82" s="3" t="str">
        <f>IF(T!$D$2=T!$M$2,M17,IF(T!$D$2=T!$N$2,N17,O17))</f>
        <v>What is the interdecile range (in kg/m^2) of the BMI of 13-year-old children?</v>
      </c>
      <c r="L82" s="1"/>
    </row>
    <row r="83" spans="1:12" ht="15" x14ac:dyDescent="0.25">
      <c r="A83" s="1"/>
      <c r="B83" s="18">
        <f>23-16</f>
        <v>7</v>
      </c>
      <c r="L83" s="1"/>
    </row>
    <row r="84" spans="1:12" ht="15" x14ac:dyDescent="0.25">
      <c r="A84" s="1"/>
      <c r="B84" s="3" t="str">
        <f>IF(T!$D$2=T!$M$2,M18,IF(T!$D$2=T!$N$2,N18,O18))</f>
        <v>What percentage of 9-year-old children has a BMI greater than 21 kg/m^2?</v>
      </c>
      <c r="L84" s="1"/>
    </row>
    <row r="85" spans="1:12" ht="15" x14ac:dyDescent="0.25">
      <c r="A85" s="1"/>
      <c r="B85" s="65">
        <f>100%-95%</f>
        <v>5.0000000000000044E-2</v>
      </c>
      <c r="L85" s="1"/>
    </row>
    <row r="86" spans="1:12" ht="15" x14ac:dyDescent="0.25">
      <c r="A86" s="1"/>
      <c r="B86" s="3" t="str">
        <f>IF(T!$D$2=T!$M$2,M19,IF(T!$D$2=T!$N$2,N19,O19))</f>
        <v>In a student group of twenty everyone is 19 years old. What number of students are expected to have a BMI falling below 27.5 kg/m^2?</v>
      </c>
      <c r="L86" s="1"/>
    </row>
    <row r="87" spans="1:12" ht="15" x14ac:dyDescent="0.25">
      <c r="A87" s="1"/>
      <c r="B87" s="66">
        <f>20*(90%)</f>
        <v>18</v>
      </c>
      <c r="L87" s="1"/>
    </row>
    <row r="88" spans="1:12" ht="15" x14ac:dyDescent="0.25">
      <c r="A88" s="1"/>
      <c r="B88" s="3" t="str">
        <f>IF(T!$D$2=T!$M$2,M21,IF(T!$D$2=T!$N$2,N21,O21))</f>
        <v>What number out of six hundred 9-and-a-half year old children is expected to fall above 19 kg/m^2?</v>
      </c>
      <c r="L88" s="1"/>
    </row>
    <row r="89" spans="1:12" ht="15" x14ac:dyDescent="0.25">
      <c r="A89" s="1"/>
      <c r="B89" s="66">
        <f>600*(100%-85%)</f>
        <v>90.000000000000014</v>
      </c>
      <c r="L89" s="1"/>
    </row>
    <row r="90" spans="1:12" ht="15" x14ac:dyDescent="0.25">
      <c r="A90" s="1"/>
      <c r="B90" s="3" t="str">
        <f>IF(T!$D$2=T!$M$2,M22,IF(T!$D$2=T!$N$2,N22,O22))</f>
        <v>What number out of four hundred 8-year-old children is expected to fall between 17 and 20 kg/m^2?</v>
      </c>
      <c r="L90" s="1"/>
    </row>
    <row r="91" spans="1:12" ht="15" x14ac:dyDescent="0.25">
      <c r="A91" s="1"/>
      <c r="B91" s="66">
        <f>400*(95%-75%)</f>
        <v>79.999999999999986</v>
      </c>
      <c r="L91" s="1"/>
    </row>
    <row r="92" spans="1:12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</sheetData>
  <mergeCells count="3">
    <mergeCell ref="B2:K2"/>
    <mergeCell ref="B4:K4"/>
    <mergeCell ref="B5:K5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2</vt:i4>
      </vt:variant>
    </vt:vector>
  </HeadingPairs>
  <TitlesOfParts>
    <vt:vector size="9" baseType="lpstr">
      <vt:lpstr>T</vt:lpstr>
      <vt:lpstr>1</vt:lpstr>
      <vt:lpstr>1m</vt:lpstr>
      <vt:lpstr>2</vt:lpstr>
      <vt:lpstr>2m</vt:lpstr>
      <vt:lpstr>3</vt:lpstr>
      <vt:lpstr>3m</vt:lpstr>
      <vt:lpstr>data</vt:lpstr>
      <vt:lpstr>nyelv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Gergely Agócs</dc:creator>
  <cp:lastModifiedBy>tanar</cp:lastModifiedBy>
  <dcterms:created xsi:type="dcterms:W3CDTF">2016-10-20T13:02:23Z</dcterms:created>
  <dcterms:modified xsi:type="dcterms:W3CDTF">2018-10-01T20:47:58Z</dcterms:modified>
</cp:coreProperties>
</file>